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media/image38.jpg" ContentType="image/jpg"/>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trlProps/ctrlProp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palur\Downloads\"/>
    </mc:Choice>
  </mc:AlternateContent>
  <xr:revisionPtr revIDLastSave="0" documentId="13_ncr:1_{A9260D9C-570A-4A38-B81E-71C601B94F4F}" xr6:coauthVersionLast="47" xr6:coauthVersionMax="47" xr10:uidLastSave="{00000000-0000-0000-0000-000000000000}"/>
  <bookViews>
    <workbookView xWindow="60" yWindow="285" windowWidth="28770" windowHeight="15450" tabRatio="752" xr2:uid="{00000000-000D-0000-FFFF-FFFF00000000}"/>
  </bookViews>
  <sheets>
    <sheet name="Introduction" sheetId="6" r:id="rId1"/>
    <sheet name="LOI &amp; Order Details" sheetId="17" r:id="rId2"/>
    <sheet name="Job Survey" sheetId="20" r:id="rId3"/>
    <sheet name="Organizational Chart" sheetId="18" r:id="rId4"/>
    <sheet name="Tech Features" sheetId="29" r:id="rId5"/>
    <sheet name="Tech Advantage" sheetId="31" r:id="rId6"/>
    <sheet name="Total Available Market" sheetId="32" r:id="rId7"/>
    <sheet name="Market Study" sheetId="30" r:id="rId8"/>
    <sheet name="Competitive Analysis" sheetId="28" r:id="rId9"/>
    <sheet name="CoGS Analysis" sheetId="36" r:id="rId10"/>
    <sheet name="HR Plan" sheetId="34" r:id="rId11"/>
    <sheet name="IP Plan" sheetId="41" r:id="rId12"/>
    <sheet name="Use of Funds" sheetId="37" r:id="rId13"/>
    <sheet name="Gantt Chart" sheetId="38" r:id="rId14"/>
    <sheet name="Manufacturing Plan" sheetId="33" r:id="rId15"/>
    <sheet name="Startup Phase (1-4 months)" sheetId="8" r:id="rId16"/>
    <sheet name="Beta Phase (5-8 months)" sheetId="9" r:id="rId17"/>
    <sheet name="Prod Ready phase (9-12 months)" sheetId="10" r:id="rId18"/>
    <sheet name="Beyond 12 months phase" sheetId="11" r:id="rId19"/>
    <sheet name="Burn Rate" sheetId="12" r:id="rId20"/>
    <sheet name="Burn Rate Graph" sheetId="13" r:id="rId21"/>
    <sheet name="Burn Rate-Rev-Cash Bal Graph" sheetId="15" r:id="rId22"/>
    <sheet name="P&amp;L" sheetId="25" r:id="rId23"/>
    <sheet name="Detailed Calculations" sheetId="27" r:id="rId24"/>
    <sheet name="Payroll Calculations" sheetId="7" r:id="rId25"/>
    <sheet name="Holidays" sheetId="39" state="hidden" r:id="rId26"/>
    <sheet name="Help &amp; Settings" sheetId="40" state="hidden" r:id="rId27"/>
  </sheets>
  <definedNames>
    <definedName name="_xlnm._FilterDatabase" localSheetId="13" hidden="1">'Gantt Chart'!$A$12:$CC$60</definedName>
    <definedName name="assign_to_color">'Help &amp; Settings'!$D$252:$D$259</definedName>
    <definedName name="assign_to_names">'Help &amp; Settings'!$C$252:$C$259</definedName>
    <definedName name="dateformat" localSheetId="26">'Help &amp; Settings'!$C$102</definedName>
    <definedName name="dateformat">'Help &amp; Settings'!$C$102</definedName>
    <definedName name="dateformat_wm" localSheetId="26">'Help &amp; Settings'!$C$138</definedName>
    <definedName name="dateformat_wm">'Help &amp; Settings'!$C$138</definedName>
    <definedName name="dateformat_yy" localSheetId="26">'Help &amp; Settings'!$C$139</definedName>
    <definedName name="dateformat_yy">'Help &amp; Settings'!$C$139</definedName>
    <definedName name="Display_Week">'Gantt Chart'!$R$9</definedName>
    <definedName name="end_range" localSheetId="13">'Gantt Chart'!$R$11:$R$60</definedName>
    <definedName name="enddate_highlight_days" localSheetId="26">'Help &amp; Settings'!$C$130</definedName>
    <definedName name="enddate_highlight_days">'Help &amp; Settings'!$C$130</definedName>
    <definedName name="holidays" localSheetId="26">Holidays!$A$8:$A$209</definedName>
    <definedName name="holidays">Holidays!$A$8:$A$209</definedName>
    <definedName name="lastProgress" localSheetId="13">'Gantt Chart'!$O$60</definedName>
    <definedName name="lastWBS" localSheetId="13">'Gantt Chart'!$B$60</definedName>
    <definedName name="lastWorkDays" localSheetId="13">'Gantt Chart'!$S$60</definedName>
    <definedName name="nextProgress" comment="References the cell in the % Done column on the next row." localSheetId="13">'Gantt Chart'!$O2</definedName>
    <definedName name="nextWBS" comment="References the cell in the WBS column on the next row." localSheetId="13">'Gantt Chart'!$B2</definedName>
    <definedName name="nextWorkDays" comment="References the cell in the Work Days column on the next row." localSheetId="13">'Gantt Chart'!$S2</definedName>
    <definedName name="prevLevel" localSheetId="13">'Gantt Chart'!$A1048576</definedName>
    <definedName name="prevWBS" localSheetId="13">'Gantt Chart'!$B1048576</definedName>
    <definedName name="_xlnm.Print_Area" localSheetId="23">'Detailed Calculations'!$B$2:$K$73</definedName>
    <definedName name="_xlnm.Print_Area" localSheetId="13">'Gantt Chart'!$B$1:$EE$60</definedName>
    <definedName name="_xlnm.Print_Area" localSheetId="22">'P&amp;L'!$B$2:$K$40</definedName>
    <definedName name="_xlnm.Print_Titles" localSheetId="13">'Gantt Chart'!$9:$12</definedName>
    <definedName name="priorities" localSheetId="26">'Help &amp; Settings'!$C$71:$C$77</definedName>
    <definedName name="priorities">'Help &amp; Settings'!$C$71:$C$77</definedName>
    <definedName name="progress_range" localSheetId="13">'Gantt Chart'!$O$11:$O$60</definedName>
    <definedName name="Project_Start">'Gantt Chart'!$C$4</definedName>
    <definedName name="show_overdue_in_chart" localSheetId="26">'Help &amp; Settings'!$C$133</definedName>
    <definedName name="show_overdue_in_chart">'Help &amp; Settings'!$C$133</definedName>
    <definedName name="show_percent_complete" localSheetId="26">'Help &amp; Settings'!$C$119</definedName>
    <definedName name="show_percent_complete">'Help &amp; Settings'!$C$119</definedName>
    <definedName name="start_range" localSheetId="13">'Gantt Chart'!$Q$11:$Q$60</definedName>
    <definedName name="startday" localSheetId="26">'Help &amp; Settings'!$C$114</definedName>
    <definedName name="startday">'Help &amp; Settings'!$C$114</definedName>
    <definedName name="thisWBS" comment="References the WBS cell on the current row." localSheetId="13">'Gantt Chart'!$B1</definedName>
    <definedName name="urgency_days">'Help &amp; Settings'!$C$246:$C$248</definedName>
    <definedName name="valuevx">42.314159</definedName>
    <definedName name="vertex42_copyright" hidden="1">"© 2006-2020 Vertex42 LLC"</definedName>
    <definedName name="vertex42_id" hidden="1">"gantt-chart_v5-0.xlsx"</definedName>
    <definedName name="vertex42_title" hidden="1">"Gantt Chart Template Pro"</definedName>
    <definedName name="wbs_range" localSheetId="13">'Gantt Chart'!$B$11:$B$60</definedName>
    <definedName name="weekend" localSheetId="26">'Help &amp; Settings'!$C$82</definedName>
    <definedName name="weekend">'Help &amp; Settings'!$C$82</definedName>
    <definedName name="weeknumbering" localSheetId="26">'Help &amp; Settings'!$C$108</definedName>
    <definedName name="weeknumbering">'Help &amp; Settings'!$C$108</definedName>
    <definedName name="workdays_range" localSheetId="13">'Gantt Chart'!$S$11:$S$60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8" i="38" l="1"/>
  <c r="B49" i="38" s="1"/>
  <c r="P8" i="12"/>
  <c r="O8" i="12"/>
  <c r="N8" i="12"/>
  <c r="M8" i="12"/>
  <c r="L8" i="12"/>
  <c r="K8" i="12"/>
  <c r="P7" i="12"/>
  <c r="O7" i="12"/>
  <c r="N7" i="12"/>
  <c r="M7" i="12"/>
  <c r="L7" i="12"/>
  <c r="K7" i="12"/>
  <c r="P6" i="12"/>
  <c r="O6" i="12"/>
  <c r="N6" i="12"/>
  <c r="M6" i="12"/>
  <c r="L6" i="12"/>
  <c r="K6" i="12"/>
  <c r="O5" i="12"/>
  <c r="P5" i="12"/>
  <c r="N5" i="12"/>
  <c r="M5" i="12"/>
  <c r="L5" i="12"/>
  <c r="K5" i="12"/>
  <c r="P4" i="12"/>
  <c r="O4" i="12"/>
  <c r="N4" i="12"/>
  <c r="M4" i="12"/>
  <c r="L4" i="12"/>
  <c r="K4" i="12"/>
  <c r="U84" i="12"/>
  <c r="U83" i="12"/>
  <c r="U82" i="12"/>
  <c r="U81" i="12"/>
  <c r="U80" i="12"/>
  <c r="U79" i="12"/>
  <c r="U78" i="12"/>
  <c r="U77" i="12"/>
  <c r="U76" i="12"/>
  <c r="U75" i="12"/>
  <c r="U74" i="12"/>
  <c r="U73" i="12"/>
  <c r="U72" i="12"/>
  <c r="U71" i="12"/>
  <c r="U70" i="12"/>
  <c r="U69" i="12"/>
  <c r="U68" i="12"/>
  <c r="U67" i="12"/>
  <c r="U66" i="12"/>
  <c r="U65" i="12"/>
  <c r="U64" i="12"/>
  <c r="U63" i="12"/>
  <c r="U62" i="12"/>
  <c r="U61" i="12"/>
  <c r="U60" i="12"/>
  <c r="U59" i="12"/>
  <c r="U58" i="12"/>
  <c r="U57" i="12"/>
  <c r="U56" i="12"/>
  <c r="U55" i="12"/>
  <c r="U54" i="12"/>
  <c r="U53" i="12"/>
  <c r="U52" i="12"/>
  <c r="U51" i="12"/>
  <c r="U50" i="12"/>
  <c r="U49" i="12"/>
  <c r="U48" i="12"/>
  <c r="U47" i="12"/>
  <c r="U46" i="12"/>
  <c r="U45" i="12"/>
  <c r="U44" i="12"/>
  <c r="U43" i="12"/>
  <c r="U42" i="12"/>
  <c r="U41" i="12"/>
  <c r="U40" i="12"/>
  <c r="U39" i="12"/>
  <c r="U38" i="12"/>
  <c r="U37" i="12"/>
  <c r="U36" i="12"/>
  <c r="U35" i="12"/>
  <c r="U34" i="12"/>
  <c r="U33" i="12"/>
  <c r="U32" i="12"/>
  <c r="U31" i="12"/>
  <c r="U30" i="12"/>
  <c r="U29" i="12"/>
  <c r="U28" i="12"/>
  <c r="U27" i="12"/>
  <c r="U26" i="12"/>
  <c r="U25" i="12"/>
  <c r="W22" i="12"/>
  <c r="T22" i="12"/>
  <c r="S22" i="12"/>
  <c r="U22" i="12" s="1"/>
  <c r="V22" i="12" s="1"/>
  <c r="T23" i="12"/>
  <c r="S23" i="12"/>
  <c r="W23" i="12" s="1"/>
  <c r="T24" i="12"/>
  <c r="S24" i="12"/>
  <c r="U24" i="12" s="1"/>
  <c r="T26" i="12"/>
  <c r="T25" i="12"/>
  <c r="S26" i="12"/>
  <c r="W26" i="12" s="1"/>
  <c r="S25" i="12"/>
  <c r="W25" i="12" s="1"/>
  <c r="D84" i="12"/>
  <c r="D82" i="12"/>
  <c r="D80" i="12"/>
  <c r="D78" i="12"/>
  <c r="D76" i="12"/>
  <c r="D74" i="12"/>
  <c r="D72" i="12"/>
  <c r="D70" i="12"/>
  <c r="D68" i="12"/>
  <c r="D66" i="12"/>
  <c r="D64" i="12"/>
  <c r="D62" i="12"/>
  <c r="D60" i="12"/>
  <c r="D58" i="12"/>
  <c r="D56" i="12"/>
  <c r="D54" i="12"/>
  <c r="D51" i="12"/>
  <c r="D48" i="12"/>
  <c r="D45" i="12"/>
  <c r="D42" i="12"/>
  <c r="D39" i="12"/>
  <c r="D36" i="12"/>
  <c r="D33" i="12"/>
  <c r="D30" i="12"/>
  <c r="D27" i="12"/>
  <c r="D24" i="12"/>
  <c r="D21" i="12"/>
  <c r="D18" i="12"/>
  <c r="D19" i="12"/>
  <c r="F25" i="12"/>
  <c r="C84" i="12"/>
  <c r="C83" i="12"/>
  <c r="C82" i="12"/>
  <c r="C81" i="12"/>
  <c r="C80" i="12"/>
  <c r="C79" i="12"/>
  <c r="C78" i="12"/>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C27" i="12"/>
  <c r="C26" i="12"/>
  <c r="C25" i="12"/>
  <c r="C24" i="12"/>
  <c r="C23" i="12"/>
  <c r="C22" i="12"/>
  <c r="C21" i="12"/>
  <c r="C20" i="12"/>
  <c r="C19" i="12"/>
  <c r="C18" i="12"/>
  <c r="C16" i="12"/>
  <c r="C15" i="12"/>
  <c r="C14" i="12"/>
  <c r="C13" i="12"/>
  <c r="M22" i="11"/>
  <c r="M20" i="10"/>
  <c r="M19" i="10"/>
  <c r="M18" i="10"/>
  <c r="M17" i="10"/>
  <c r="M16" i="10"/>
  <c r="M15" i="10"/>
  <c r="M14" i="10"/>
  <c r="M13" i="10"/>
  <c r="L20" i="10"/>
  <c r="L19" i="10"/>
  <c r="L18" i="10"/>
  <c r="L17" i="10"/>
  <c r="L16" i="10"/>
  <c r="L15" i="10"/>
  <c r="L14" i="10"/>
  <c r="L13" i="10"/>
  <c r="M44" i="9"/>
  <c r="M17" i="9"/>
  <c r="M16" i="9"/>
  <c r="L17" i="9"/>
  <c r="L16" i="9"/>
  <c r="M15" i="9"/>
  <c r="L15" i="9"/>
  <c r="M14" i="9"/>
  <c r="L14" i="9"/>
  <c r="M13" i="9"/>
  <c r="L13" i="9"/>
  <c r="W24" i="12" l="1"/>
  <c r="U23" i="12"/>
  <c r="V23" i="12" s="1"/>
  <c r="V24" i="12" s="1"/>
  <c r="V25" i="12" l="1"/>
  <c r="V26" i="12" s="1"/>
  <c r="M48" i="8"/>
  <c r="M47" i="8"/>
  <c r="M46" i="8"/>
  <c r="M45" i="8"/>
  <c r="M44" i="8"/>
  <c r="M43" i="8"/>
  <c r="M42" i="8"/>
  <c r="M41" i="8"/>
  <c r="M40" i="8"/>
  <c r="M37" i="8"/>
  <c r="M36" i="8"/>
  <c r="M35" i="8"/>
  <c r="M34" i="8"/>
  <c r="M33" i="8"/>
  <c r="M32" i="8"/>
  <c r="M31" i="8"/>
  <c r="M30" i="8"/>
  <c r="M29" i="8"/>
  <c r="M28" i="8"/>
  <c r="M27" i="8"/>
  <c r="M22" i="8"/>
  <c r="L22" i="8"/>
  <c r="C20" i="8"/>
  <c r="C21" i="8" s="1"/>
  <c r="C22" i="8" s="1"/>
  <c r="E156" i="20" l="1"/>
  <c r="D156" i="20"/>
  <c r="D147" i="20"/>
  <c r="E147" i="20" s="1"/>
  <c r="D142" i="20"/>
  <c r="E142" i="20" s="1"/>
  <c r="E127" i="20"/>
  <c r="D127" i="20"/>
  <c r="E124" i="20"/>
  <c r="D124" i="20"/>
  <c r="D14" i="20"/>
  <c r="D12" i="20"/>
  <c r="D11" i="20"/>
  <c r="D10" i="20"/>
  <c r="D9" i="20"/>
  <c r="D8" i="20"/>
  <c r="D7" i="20"/>
  <c r="D6" i="20"/>
  <c r="E48" i="20"/>
  <c r="D48" i="20"/>
  <c r="D51" i="20"/>
  <c r="D77" i="20"/>
  <c r="D76" i="20"/>
  <c r="D82" i="20"/>
  <c r="E112" i="20"/>
  <c r="D112" i="20"/>
  <c r="E101" i="20"/>
  <c r="D101" i="20"/>
  <c r="E87" i="20"/>
  <c r="D87" i="20"/>
  <c r="E82" i="20"/>
  <c r="E77" i="20"/>
  <c r="E76" i="20"/>
  <c r="E51" i="20"/>
  <c r="E13" i="20"/>
  <c r="E14" i="20"/>
  <c r="C114" i="40" l="1"/>
  <c r="Q49" i="38" l="1"/>
  <c r="R49" i="38" s="1"/>
  <c r="S49" i="38" s="1"/>
  <c r="X49" i="38"/>
  <c r="Y49" i="38"/>
  <c r="Z49" i="38"/>
  <c r="AA49" i="38"/>
  <c r="AB49" i="38"/>
  <c r="AC49" i="38"/>
  <c r="AD49" i="38"/>
  <c r="AE49" i="38"/>
  <c r="AF49" i="38"/>
  <c r="AG49" i="38"/>
  <c r="AH49" i="38"/>
  <c r="AI49" i="38"/>
  <c r="AJ49" i="38"/>
  <c r="AK49" i="38"/>
  <c r="AL49" i="38"/>
  <c r="AM49" i="38"/>
  <c r="AN49" i="38"/>
  <c r="AO49" i="38"/>
  <c r="AP49" i="38"/>
  <c r="AQ49" i="38"/>
  <c r="AR49" i="38"/>
  <c r="AS49" i="38"/>
  <c r="AT49" i="38"/>
  <c r="AU49" i="38"/>
  <c r="AV49" i="38"/>
  <c r="AW49" i="38"/>
  <c r="AX49" i="38"/>
  <c r="AY49" i="38"/>
  <c r="AZ49" i="38"/>
  <c r="BA49" i="38"/>
  <c r="BB49" i="38"/>
  <c r="BC49" i="38"/>
  <c r="BD49" i="38"/>
  <c r="BE49" i="38"/>
  <c r="BF49" i="38"/>
  <c r="BG49" i="38"/>
  <c r="BH49" i="38"/>
  <c r="BI49" i="38"/>
  <c r="BJ49" i="38"/>
  <c r="BK49" i="38"/>
  <c r="BL49" i="38"/>
  <c r="BM49" i="38"/>
  <c r="BN49" i="38"/>
  <c r="BO49" i="38"/>
  <c r="BP49" i="38"/>
  <c r="BQ49" i="38"/>
  <c r="BR49" i="38"/>
  <c r="BS49" i="38"/>
  <c r="BT49" i="38"/>
  <c r="BU49" i="38"/>
  <c r="BV49" i="38"/>
  <c r="BW49" i="38"/>
  <c r="BX49" i="38"/>
  <c r="BY49" i="38"/>
  <c r="BZ49" i="38"/>
  <c r="CA49" i="38"/>
  <c r="CB49" i="38"/>
  <c r="CC49" i="38"/>
  <c r="CD49" i="38"/>
  <c r="CE49" i="38"/>
  <c r="CF49" i="38"/>
  <c r="CG49" i="38"/>
  <c r="CH49" i="38"/>
  <c r="CI49" i="38"/>
  <c r="CJ49" i="38"/>
  <c r="CK49" i="38"/>
  <c r="CL49" i="38"/>
  <c r="CM49" i="38"/>
  <c r="CN49" i="38"/>
  <c r="CO49" i="38"/>
  <c r="CP49" i="38"/>
  <c r="CQ49" i="38"/>
  <c r="CR49" i="38"/>
  <c r="CS49" i="38"/>
  <c r="CT49" i="38"/>
  <c r="CU49" i="38"/>
  <c r="CV49" i="38"/>
  <c r="CW49" i="38"/>
  <c r="CX49" i="38"/>
  <c r="CY49" i="38"/>
  <c r="CZ49" i="38"/>
  <c r="DA49" i="38"/>
  <c r="DB49" i="38"/>
  <c r="DC49" i="38"/>
  <c r="DD49" i="38"/>
  <c r="DE49" i="38"/>
  <c r="DF49" i="38"/>
  <c r="DG49" i="38"/>
  <c r="DH49" i="38"/>
  <c r="DI49" i="38"/>
  <c r="DJ49" i="38"/>
  <c r="DK49" i="38"/>
  <c r="DL49" i="38"/>
  <c r="DM49" i="38"/>
  <c r="DN49" i="38"/>
  <c r="DO49" i="38"/>
  <c r="DP49" i="38"/>
  <c r="DQ49" i="38"/>
  <c r="DR49" i="38"/>
  <c r="DS49" i="38"/>
  <c r="DT49" i="38"/>
  <c r="DU49" i="38"/>
  <c r="DV49" i="38"/>
  <c r="DW49" i="38"/>
  <c r="DX49" i="38"/>
  <c r="DY49" i="38"/>
  <c r="DZ49" i="38"/>
  <c r="EA49" i="38"/>
  <c r="EB49" i="38"/>
  <c r="EC49" i="38"/>
  <c r="ED49" i="38"/>
  <c r="EE49" i="38"/>
  <c r="Q27" i="38"/>
  <c r="R27" i="38" s="1"/>
  <c r="X27" i="38"/>
  <c r="Y27" i="38"/>
  <c r="Z27" i="38"/>
  <c r="AA27" i="38"/>
  <c r="AB27" i="38"/>
  <c r="AC27" i="38"/>
  <c r="AD27" i="38"/>
  <c r="AE27" i="38"/>
  <c r="AF27" i="38"/>
  <c r="AG27" i="38"/>
  <c r="AH27" i="38"/>
  <c r="AI27" i="38"/>
  <c r="AJ27" i="38"/>
  <c r="AK27" i="38"/>
  <c r="AL27" i="38"/>
  <c r="AM27" i="38"/>
  <c r="AN27" i="38"/>
  <c r="AO27" i="38"/>
  <c r="AP27" i="38"/>
  <c r="AQ27" i="38"/>
  <c r="AR27" i="38"/>
  <c r="AS27" i="38"/>
  <c r="AT27" i="38"/>
  <c r="AU27" i="38"/>
  <c r="AV27" i="38"/>
  <c r="AW27" i="38"/>
  <c r="AX27" i="38"/>
  <c r="AY27" i="38"/>
  <c r="AZ27" i="38"/>
  <c r="BA27" i="38"/>
  <c r="BB27" i="38"/>
  <c r="BC27" i="38"/>
  <c r="BD27" i="38"/>
  <c r="BE27" i="38"/>
  <c r="BF27" i="38"/>
  <c r="BG27" i="38"/>
  <c r="BH27" i="38"/>
  <c r="BI27" i="38"/>
  <c r="BJ27" i="38"/>
  <c r="BK27" i="38"/>
  <c r="BL27" i="38"/>
  <c r="BM27" i="38"/>
  <c r="BN27" i="38"/>
  <c r="BO27" i="38"/>
  <c r="BP27" i="38"/>
  <c r="BQ27" i="38"/>
  <c r="BR27" i="38"/>
  <c r="BS27" i="38"/>
  <c r="BT27" i="38"/>
  <c r="BU27" i="38"/>
  <c r="BV27" i="38"/>
  <c r="BW27" i="38"/>
  <c r="BX27" i="38"/>
  <c r="BY27" i="38"/>
  <c r="BZ27" i="38"/>
  <c r="CA27" i="38"/>
  <c r="CB27" i="38"/>
  <c r="CC27" i="38"/>
  <c r="CD27" i="38"/>
  <c r="CE27" i="38"/>
  <c r="CF27" i="38"/>
  <c r="CG27" i="38"/>
  <c r="CH27" i="38"/>
  <c r="CI27" i="38"/>
  <c r="CJ27" i="38"/>
  <c r="CK27" i="38"/>
  <c r="CL27" i="38"/>
  <c r="CM27" i="38"/>
  <c r="CN27" i="38"/>
  <c r="CO27" i="38"/>
  <c r="CP27" i="38"/>
  <c r="CQ27" i="38"/>
  <c r="CR27" i="38"/>
  <c r="CS27" i="38"/>
  <c r="CT27" i="38"/>
  <c r="CU27" i="38"/>
  <c r="CV27" i="38"/>
  <c r="CW27" i="38"/>
  <c r="CX27" i="38"/>
  <c r="CY27" i="38"/>
  <c r="CZ27" i="38"/>
  <c r="DA27" i="38"/>
  <c r="DB27" i="38"/>
  <c r="DC27" i="38"/>
  <c r="DD27" i="38"/>
  <c r="DE27" i="38"/>
  <c r="DF27" i="38"/>
  <c r="DG27" i="38"/>
  <c r="DH27" i="38"/>
  <c r="DI27" i="38"/>
  <c r="DJ27" i="38"/>
  <c r="DK27" i="38"/>
  <c r="DL27" i="38"/>
  <c r="DM27" i="38"/>
  <c r="DN27" i="38"/>
  <c r="DO27" i="38"/>
  <c r="DP27" i="38"/>
  <c r="DQ27" i="38"/>
  <c r="DR27" i="38"/>
  <c r="DS27" i="38"/>
  <c r="DT27" i="38"/>
  <c r="DU27" i="38"/>
  <c r="DV27" i="38"/>
  <c r="DW27" i="38"/>
  <c r="DX27" i="38"/>
  <c r="DY27" i="38"/>
  <c r="DZ27" i="38"/>
  <c r="EA27" i="38"/>
  <c r="EB27" i="38"/>
  <c r="EC27" i="38"/>
  <c r="ED27" i="38"/>
  <c r="EE27" i="38"/>
  <c r="X21" i="38"/>
  <c r="Y21" i="38"/>
  <c r="Z21" i="38"/>
  <c r="AA21" i="38"/>
  <c r="AB21" i="38"/>
  <c r="AC21" i="38"/>
  <c r="AD21" i="38"/>
  <c r="AE21" i="38"/>
  <c r="AF21" i="38"/>
  <c r="AG21" i="38"/>
  <c r="AH21" i="38"/>
  <c r="AI21" i="38"/>
  <c r="AJ21" i="38"/>
  <c r="AK21" i="38"/>
  <c r="AL21" i="38"/>
  <c r="AM21" i="38"/>
  <c r="AN21" i="38"/>
  <c r="AO21" i="38"/>
  <c r="AP21" i="38"/>
  <c r="AQ21" i="38"/>
  <c r="AR21" i="38"/>
  <c r="AS21" i="38"/>
  <c r="AT21" i="38"/>
  <c r="AU21" i="38"/>
  <c r="AV21" i="38"/>
  <c r="AW21" i="38"/>
  <c r="AX21" i="38"/>
  <c r="AY21" i="38"/>
  <c r="AZ21" i="38"/>
  <c r="BA21" i="38"/>
  <c r="BB21" i="38"/>
  <c r="BC21" i="38"/>
  <c r="BD21" i="38"/>
  <c r="BE21" i="38"/>
  <c r="BF21" i="38"/>
  <c r="BG21" i="38"/>
  <c r="BH21" i="38"/>
  <c r="BI21" i="38"/>
  <c r="BJ21" i="38"/>
  <c r="BK21" i="38"/>
  <c r="BL21" i="38"/>
  <c r="BM21" i="38"/>
  <c r="BN21" i="38"/>
  <c r="BO21" i="38"/>
  <c r="BP21" i="38"/>
  <c r="BQ21" i="38"/>
  <c r="BR21" i="38"/>
  <c r="BS21" i="38"/>
  <c r="BT21" i="38"/>
  <c r="BU21" i="38"/>
  <c r="BV21" i="38"/>
  <c r="BW21" i="38"/>
  <c r="BX21" i="38"/>
  <c r="BY21" i="38"/>
  <c r="BZ21" i="38"/>
  <c r="CA21" i="38"/>
  <c r="CB21" i="38"/>
  <c r="CC21" i="38"/>
  <c r="CD21" i="38"/>
  <c r="CE21" i="38"/>
  <c r="CF21" i="38"/>
  <c r="CG21" i="38"/>
  <c r="CH21" i="38"/>
  <c r="CI21" i="38"/>
  <c r="CJ21" i="38"/>
  <c r="CK21" i="38"/>
  <c r="CL21" i="38"/>
  <c r="CM21" i="38"/>
  <c r="CN21" i="38"/>
  <c r="CO21" i="38"/>
  <c r="CP21" i="38"/>
  <c r="CQ21" i="38"/>
  <c r="CR21" i="38"/>
  <c r="CS21" i="38"/>
  <c r="CT21" i="38"/>
  <c r="CU21" i="38"/>
  <c r="CV21" i="38"/>
  <c r="CW21" i="38"/>
  <c r="CX21" i="38"/>
  <c r="CY21" i="38"/>
  <c r="CZ21" i="38"/>
  <c r="DA21" i="38"/>
  <c r="DB21" i="38"/>
  <c r="DC21" i="38"/>
  <c r="DD21" i="38"/>
  <c r="DE21" i="38"/>
  <c r="DF21" i="38"/>
  <c r="DG21" i="38"/>
  <c r="DH21" i="38"/>
  <c r="DI21" i="38"/>
  <c r="DJ21" i="38"/>
  <c r="DK21" i="38"/>
  <c r="DL21" i="38"/>
  <c r="DM21" i="38"/>
  <c r="DN21" i="38"/>
  <c r="DO21" i="38"/>
  <c r="DP21" i="38"/>
  <c r="DQ21" i="38"/>
  <c r="DR21" i="38"/>
  <c r="DS21" i="38"/>
  <c r="DT21" i="38"/>
  <c r="DU21" i="38"/>
  <c r="DV21" i="38"/>
  <c r="DW21" i="38"/>
  <c r="DX21" i="38"/>
  <c r="DY21" i="38"/>
  <c r="DZ21" i="38"/>
  <c r="EA21" i="38"/>
  <c r="EB21" i="38"/>
  <c r="EC21" i="38"/>
  <c r="ED21" i="38"/>
  <c r="EE21" i="38"/>
  <c r="X20" i="38"/>
  <c r="Y20" i="38"/>
  <c r="Z20" i="38"/>
  <c r="AA20" i="38"/>
  <c r="AB20" i="38"/>
  <c r="AC20" i="38"/>
  <c r="AD20" i="38"/>
  <c r="AE20" i="38"/>
  <c r="AF20" i="38"/>
  <c r="AG20" i="38"/>
  <c r="AH20" i="38"/>
  <c r="AI20" i="38"/>
  <c r="AJ20" i="38"/>
  <c r="AK20" i="38"/>
  <c r="AL20" i="38"/>
  <c r="AM20" i="38"/>
  <c r="AN20" i="38"/>
  <c r="AO20" i="38"/>
  <c r="AP20" i="38"/>
  <c r="AQ20" i="38"/>
  <c r="AR20" i="38"/>
  <c r="AS20" i="38"/>
  <c r="AT20" i="38"/>
  <c r="AU20" i="38"/>
  <c r="AV20" i="38"/>
  <c r="AW20" i="38"/>
  <c r="AX20" i="38"/>
  <c r="AY20" i="38"/>
  <c r="AZ20" i="38"/>
  <c r="BA20" i="38"/>
  <c r="BB20" i="38"/>
  <c r="BC20" i="38"/>
  <c r="BD20" i="38"/>
  <c r="BE20" i="38"/>
  <c r="BF20" i="38"/>
  <c r="BG20" i="38"/>
  <c r="BH20" i="38"/>
  <c r="BI20" i="38"/>
  <c r="BJ20" i="38"/>
  <c r="BK20" i="38"/>
  <c r="BL20" i="38"/>
  <c r="BM20" i="38"/>
  <c r="BN20" i="38"/>
  <c r="BO20" i="38"/>
  <c r="BP20" i="38"/>
  <c r="BQ20" i="38"/>
  <c r="BR20" i="38"/>
  <c r="BS20" i="38"/>
  <c r="BT20" i="38"/>
  <c r="BU20" i="38"/>
  <c r="BV20" i="38"/>
  <c r="BW20" i="38"/>
  <c r="BX20" i="38"/>
  <c r="BY20" i="38"/>
  <c r="BZ20" i="38"/>
  <c r="CA20" i="38"/>
  <c r="CB20" i="38"/>
  <c r="CC20" i="38"/>
  <c r="CD20" i="38"/>
  <c r="CE20" i="38"/>
  <c r="CF20" i="38"/>
  <c r="CG20" i="38"/>
  <c r="CH20" i="38"/>
  <c r="CI20" i="38"/>
  <c r="CJ20" i="38"/>
  <c r="CK20" i="38"/>
  <c r="CL20" i="38"/>
  <c r="CM20" i="38"/>
  <c r="CN20" i="38"/>
  <c r="CO20" i="38"/>
  <c r="CP20" i="38"/>
  <c r="CQ20" i="38"/>
  <c r="CR20" i="38"/>
  <c r="CS20" i="38"/>
  <c r="CT20" i="38"/>
  <c r="CU20" i="38"/>
  <c r="CV20" i="38"/>
  <c r="CW20" i="38"/>
  <c r="CX20" i="38"/>
  <c r="CY20" i="38"/>
  <c r="CZ20" i="38"/>
  <c r="DA20" i="38"/>
  <c r="DB20" i="38"/>
  <c r="DC20" i="38"/>
  <c r="DD20" i="38"/>
  <c r="DE20" i="38"/>
  <c r="DF20" i="38"/>
  <c r="DG20" i="38"/>
  <c r="DH20" i="38"/>
  <c r="DI20" i="38"/>
  <c r="DJ20" i="38"/>
  <c r="DK20" i="38"/>
  <c r="DL20" i="38"/>
  <c r="DM20" i="38"/>
  <c r="DN20" i="38"/>
  <c r="DO20" i="38"/>
  <c r="DP20" i="38"/>
  <c r="DQ20" i="38"/>
  <c r="DR20" i="38"/>
  <c r="DS20" i="38"/>
  <c r="DT20" i="38"/>
  <c r="DU20" i="38"/>
  <c r="DV20" i="38"/>
  <c r="DW20" i="38"/>
  <c r="DX20" i="38"/>
  <c r="DY20" i="38"/>
  <c r="DZ20" i="38"/>
  <c r="EA20" i="38"/>
  <c r="EB20" i="38"/>
  <c r="EC20" i="38"/>
  <c r="ED20" i="38"/>
  <c r="EE20" i="38"/>
  <c r="X19" i="38"/>
  <c r="Y19" i="38"/>
  <c r="Z19" i="38"/>
  <c r="AA19" i="38"/>
  <c r="AB19" i="38"/>
  <c r="AC19" i="38"/>
  <c r="AD19" i="38"/>
  <c r="AE19" i="38"/>
  <c r="AF19" i="38"/>
  <c r="AG19" i="38"/>
  <c r="AH19" i="38"/>
  <c r="AI19" i="38"/>
  <c r="AJ19" i="38"/>
  <c r="AK19" i="38"/>
  <c r="AL19" i="38"/>
  <c r="AM19" i="38"/>
  <c r="AN19" i="38"/>
  <c r="AO19" i="38"/>
  <c r="AP19" i="38"/>
  <c r="AQ19" i="38"/>
  <c r="AR19" i="38"/>
  <c r="AS19" i="38"/>
  <c r="AT19" i="38"/>
  <c r="AU19" i="38"/>
  <c r="AV19" i="38"/>
  <c r="AW19" i="38"/>
  <c r="AX19" i="38"/>
  <c r="AY19" i="38"/>
  <c r="AZ19" i="38"/>
  <c r="BA19" i="38"/>
  <c r="BB19" i="38"/>
  <c r="BC19" i="38"/>
  <c r="BD19" i="38"/>
  <c r="BE19" i="38"/>
  <c r="BF19" i="38"/>
  <c r="BG19" i="38"/>
  <c r="BH19" i="38"/>
  <c r="BI19" i="38"/>
  <c r="BJ19" i="38"/>
  <c r="BK19" i="38"/>
  <c r="BL19" i="38"/>
  <c r="BM19" i="38"/>
  <c r="BN19" i="38"/>
  <c r="BO19" i="38"/>
  <c r="BP19" i="38"/>
  <c r="BQ19" i="38"/>
  <c r="BR19" i="38"/>
  <c r="BS19" i="38"/>
  <c r="BT19" i="38"/>
  <c r="BU19" i="38"/>
  <c r="BV19" i="38"/>
  <c r="BW19" i="38"/>
  <c r="BX19" i="38"/>
  <c r="BY19" i="38"/>
  <c r="BZ19" i="38"/>
  <c r="CA19" i="38"/>
  <c r="CB19" i="38"/>
  <c r="CC19" i="38"/>
  <c r="CD19" i="38"/>
  <c r="CE19" i="38"/>
  <c r="CF19" i="38"/>
  <c r="CG19" i="38"/>
  <c r="CH19" i="38"/>
  <c r="CI19" i="38"/>
  <c r="CJ19" i="38"/>
  <c r="CK19" i="38"/>
  <c r="CL19" i="38"/>
  <c r="CM19" i="38"/>
  <c r="CN19" i="38"/>
  <c r="CO19" i="38"/>
  <c r="CP19" i="38"/>
  <c r="CQ19" i="38"/>
  <c r="CR19" i="38"/>
  <c r="CS19" i="38"/>
  <c r="CT19" i="38"/>
  <c r="CU19" i="38"/>
  <c r="CV19" i="38"/>
  <c r="CW19" i="38"/>
  <c r="CX19" i="38"/>
  <c r="CY19" i="38"/>
  <c r="CZ19" i="38"/>
  <c r="DA19" i="38"/>
  <c r="DB19" i="38"/>
  <c r="DC19" i="38"/>
  <c r="DD19" i="38"/>
  <c r="DE19" i="38"/>
  <c r="DF19" i="38"/>
  <c r="DG19" i="38"/>
  <c r="DH19" i="38"/>
  <c r="DI19" i="38"/>
  <c r="DJ19" i="38"/>
  <c r="DK19" i="38"/>
  <c r="DL19" i="38"/>
  <c r="DM19" i="38"/>
  <c r="DN19" i="38"/>
  <c r="DO19" i="38"/>
  <c r="DP19" i="38"/>
  <c r="DQ19" i="38"/>
  <c r="DR19" i="38"/>
  <c r="DS19" i="38"/>
  <c r="DT19" i="38"/>
  <c r="DU19" i="38"/>
  <c r="DV19" i="38"/>
  <c r="DW19" i="38"/>
  <c r="DX19" i="38"/>
  <c r="DY19" i="38"/>
  <c r="DZ19" i="38"/>
  <c r="EA19" i="38"/>
  <c r="EB19" i="38"/>
  <c r="EC19" i="38"/>
  <c r="ED19" i="38"/>
  <c r="EE19" i="38"/>
  <c r="X18" i="38"/>
  <c r="Y18" i="38"/>
  <c r="Z18" i="38"/>
  <c r="AA18" i="38"/>
  <c r="AB18" i="38"/>
  <c r="AC18" i="38"/>
  <c r="AD18" i="38"/>
  <c r="AE18" i="38"/>
  <c r="AF18" i="38"/>
  <c r="AG18" i="38"/>
  <c r="AH18" i="38"/>
  <c r="AI18" i="38"/>
  <c r="AJ18" i="38"/>
  <c r="AK18" i="38"/>
  <c r="AL18" i="38"/>
  <c r="AM18" i="38"/>
  <c r="AN18" i="38"/>
  <c r="AO18" i="38"/>
  <c r="AP18" i="38"/>
  <c r="AQ18" i="38"/>
  <c r="AR18" i="38"/>
  <c r="AS18" i="38"/>
  <c r="AT18" i="38"/>
  <c r="AU18" i="38"/>
  <c r="AV18" i="38"/>
  <c r="AW18" i="38"/>
  <c r="AX18" i="38"/>
  <c r="AY18" i="38"/>
  <c r="AZ18" i="38"/>
  <c r="BA18" i="38"/>
  <c r="BB18" i="38"/>
  <c r="BC18" i="38"/>
  <c r="BD18" i="38"/>
  <c r="BE18" i="38"/>
  <c r="BF18" i="38"/>
  <c r="BG18" i="38"/>
  <c r="BH18" i="38"/>
  <c r="BI18" i="38"/>
  <c r="BJ18" i="38"/>
  <c r="BK18" i="38"/>
  <c r="BL18" i="38"/>
  <c r="BM18" i="38"/>
  <c r="BN18" i="38"/>
  <c r="BO18" i="38"/>
  <c r="BP18" i="38"/>
  <c r="BQ18" i="38"/>
  <c r="BR18" i="38"/>
  <c r="BS18" i="38"/>
  <c r="BT18" i="38"/>
  <c r="BU18" i="38"/>
  <c r="BV18" i="38"/>
  <c r="BW18" i="38"/>
  <c r="BX18" i="38"/>
  <c r="BY18" i="38"/>
  <c r="BZ18" i="38"/>
  <c r="CA18" i="38"/>
  <c r="CB18" i="38"/>
  <c r="CC18" i="38"/>
  <c r="CD18" i="38"/>
  <c r="CE18" i="38"/>
  <c r="CF18" i="38"/>
  <c r="CG18" i="38"/>
  <c r="CH18" i="38"/>
  <c r="CI18" i="38"/>
  <c r="CJ18" i="38"/>
  <c r="CK18" i="38"/>
  <c r="CL18" i="38"/>
  <c r="CM18" i="38"/>
  <c r="CN18" i="38"/>
  <c r="CO18" i="38"/>
  <c r="CP18" i="38"/>
  <c r="CQ18" i="38"/>
  <c r="CR18" i="38"/>
  <c r="CS18" i="38"/>
  <c r="CT18" i="38"/>
  <c r="CU18" i="38"/>
  <c r="CV18" i="38"/>
  <c r="CW18" i="38"/>
  <c r="CX18" i="38"/>
  <c r="CY18" i="38"/>
  <c r="CZ18" i="38"/>
  <c r="DA18" i="38"/>
  <c r="DB18" i="38"/>
  <c r="DC18" i="38"/>
  <c r="DD18" i="38"/>
  <c r="DE18" i="38"/>
  <c r="DF18" i="38"/>
  <c r="DG18" i="38"/>
  <c r="DH18" i="38"/>
  <c r="DI18" i="38"/>
  <c r="DJ18" i="38"/>
  <c r="DK18" i="38"/>
  <c r="DL18" i="38"/>
  <c r="DM18" i="38"/>
  <c r="DN18" i="38"/>
  <c r="DO18" i="38"/>
  <c r="DP18" i="38"/>
  <c r="DQ18" i="38"/>
  <c r="DR18" i="38"/>
  <c r="DS18" i="38"/>
  <c r="DT18" i="38"/>
  <c r="DU18" i="38"/>
  <c r="DV18" i="38"/>
  <c r="DW18" i="38"/>
  <c r="DX18" i="38"/>
  <c r="DY18" i="38"/>
  <c r="DZ18" i="38"/>
  <c r="EA18" i="38"/>
  <c r="EB18" i="38"/>
  <c r="EC18" i="38"/>
  <c r="ED18" i="38"/>
  <c r="EE18" i="38"/>
  <c r="T49" i="38" l="1"/>
  <c r="S27" i="38"/>
  <c r="T27" i="38"/>
  <c r="A141" i="39" l="1"/>
  <c r="A142" i="39" s="1"/>
  <c r="A143" i="39" s="1"/>
  <c r="A144" i="39" s="1"/>
  <c r="A145" i="39" s="1"/>
  <c r="A146" i="39" s="1"/>
  <c r="A147" i="39" s="1"/>
  <c r="A148" i="39" s="1"/>
  <c r="A149" i="39" s="1"/>
  <c r="A150" i="39" s="1"/>
  <c r="A151" i="39" s="1"/>
  <c r="A130" i="39"/>
  <c r="A131" i="39" s="1"/>
  <c r="A132" i="39" s="1"/>
  <c r="A133" i="39" s="1"/>
  <c r="A134" i="39" s="1"/>
  <c r="A135" i="39" s="1"/>
  <c r="A136" i="39" s="1"/>
  <c r="A137" i="39" s="1"/>
  <c r="A138" i="39" s="1"/>
  <c r="A139" i="39" s="1"/>
  <c r="A140" i="39" s="1"/>
  <c r="A98" i="39"/>
  <c r="A99" i="39" s="1"/>
  <c r="A100" i="39" s="1"/>
  <c r="A101" i="39" s="1"/>
  <c r="A102" i="39" s="1"/>
  <c r="A103" i="39" s="1"/>
  <c r="A104" i="39" s="1"/>
  <c r="A105" i="39" s="1"/>
  <c r="A106" i="39" s="1"/>
  <c r="A107" i="39" s="1"/>
  <c r="A97" i="39"/>
  <c r="A86" i="39"/>
  <c r="A87" i="39" s="1"/>
  <c r="A88" i="39" s="1"/>
  <c r="A89" i="39" s="1"/>
  <c r="A90" i="39" s="1"/>
  <c r="A91" i="39" s="1"/>
  <c r="A92" i="39" s="1"/>
  <c r="A93" i="39" s="1"/>
  <c r="A94" i="39" s="1"/>
  <c r="A95" i="39" s="1"/>
  <c r="A96" i="39" s="1"/>
  <c r="A75" i="39"/>
  <c r="A76" i="39" s="1"/>
  <c r="A77" i="39" s="1"/>
  <c r="A78" i="39" s="1"/>
  <c r="A79" i="39" s="1"/>
  <c r="A80" i="39" s="1"/>
  <c r="A81" i="39" s="1"/>
  <c r="A82" i="39" s="1"/>
  <c r="A83" i="39" s="1"/>
  <c r="A84" i="39" s="1"/>
  <c r="A85" i="39" s="1"/>
  <c r="A64" i="39"/>
  <c r="A65" i="39" s="1"/>
  <c r="A66" i="39" s="1"/>
  <c r="A67" i="39" s="1"/>
  <c r="A68" i="39" s="1"/>
  <c r="A69" i="39" s="1"/>
  <c r="A70" i="39" s="1"/>
  <c r="A71" i="39" s="1"/>
  <c r="A72" i="39" s="1"/>
  <c r="A73" i="39" s="1"/>
  <c r="A74" i="39" s="1"/>
  <c r="A53" i="39"/>
  <c r="A54" i="39" s="1"/>
  <c r="A55" i="39" s="1"/>
  <c r="A56" i="39" s="1"/>
  <c r="A57" i="39" s="1"/>
  <c r="A58" i="39" s="1"/>
  <c r="A59" i="39" s="1"/>
  <c r="A60" i="39" s="1"/>
  <c r="A61" i="39" s="1"/>
  <c r="A62" i="39" s="1"/>
  <c r="A63" i="39" s="1"/>
  <c r="A32" i="39"/>
  <c r="A33" i="39" s="1"/>
  <c r="A31" i="39"/>
  <c r="Q60" i="38"/>
  <c r="R60" i="38" s="1"/>
  <c r="S60" i="38" s="1"/>
  <c r="EE59" i="38"/>
  <c r="ED59" i="38"/>
  <c r="EC59" i="38"/>
  <c r="EB59" i="38"/>
  <c r="EA59" i="38"/>
  <c r="DZ59" i="38"/>
  <c r="DY59" i="38"/>
  <c r="DX59" i="38"/>
  <c r="DW59" i="38"/>
  <c r="DV59" i="38"/>
  <c r="DU59" i="38"/>
  <c r="DT59" i="38"/>
  <c r="DS59" i="38"/>
  <c r="DR59" i="38"/>
  <c r="DQ59" i="38"/>
  <c r="DP59" i="38"/>
  <c r="DO59" i="38"/>
  <c r="DN59" i="38"/>
  <c r="DM59" i="38"/>
  <c r="DL59" i="38"/>
  <c r="DK59" i="38"/>
  <c r="DJ59" i="38"/>
  <c r="DI59" i="38"/>
  <c r="DH59" i="38"/>
  <c r="DG59" i="38"/>
  <c r="DF59" i="38"/>
  <c r="DE59" i="38"/>
  <c r="DD59" i="38"/>
  <c r="DC59" i="38"/>
  <c r="DB59" i="38"/>
  <c r="DA59" i="38"/>
  <c r="CZ59" i="38"/>
  <c r="CY59" i="38"/>
  <c r="CX59" i="38"/>
  <c r="CW59" i="38"/>
  <c r="CV59" i="38"/>
  <c r="CU59" i="38"/>
  <c r="CT59" i="38"/>
  <c r="CS59" i="38"/>
  <c r="CR59" i="38"/>
  <c r="CQ59" i="38"/>
  <c r="CP59" i="38"/>
  <c r="CO59" i="38"/>
  <c r="CN59" i="38"/>
  <c r="CM59" i="38"/>
  <c r="CL59" i="38"/>
  <c r="CK59" i="38"/>
  <c r="CJ59" i="38"/>
  <c r="CI59" i="38"/>
  <c r="CH59" i="38"/>
  <c r="CG59" i="38"/>
  <c r="CF59" i="38"/>
  <c r="CE59" i="38"/>
  <c r="CD59" i="38"/>
  <c r="CC59" i="38"/>
  <c r="CB59" i="38"/>
  <c r="CA59" i="38"/>
  <c r="BZ59" i="38"/>
  <c r="BY59" i="38"/>
  <c r="BX59" i="38"/>
  <c r="BW59" i="38"/>
  <c r="BV59" i="38"/>
  <c r="BU59" i="38"/>
  <c r="BT59" i="38"/>
  <c r="BS59" i="38"/>
  <c r="BR59" i="38"/>
  <c r="BQ59" i="38"/>
  <c r="BP59" i="38"/>
  <c r="BO59" i="38"/>
  <c r="BN59" i="38"/>
  <c r="BM59" i="38"/>
  <c r="BL59" i="38"/>
  <c r="BK59" i="38"/>
  <c r="BJ59" i="38"/>
  <c r="BI59" i="38"/>
  <c r="BH59" i="38"/>
  <c r="BG59" i="38"/>
  <c r="BF59" i="38"/>
  <c r="BE59" i="38"/>
  <c r="BD59" i="38"/>
  <c r="BC59" i="38"/>
  <c r="BB59" i="38"/>
  <c r="BA59" i="38"/>
  <c r="AZ59" i="38"/>
  <c r="AY59" i="38"/>
  <c r="AX59" i="38"/>
  <c r="AW59" i="38"/>
  <c r="AV59" i="38"/>
  <c r="AU59" i="38"/>
  <c r="AT59" i="38"/>
  <c r="AS59" i="38"/>
  <c r="AR59" i="38"/>
  <c r="AQ59" i="38"/>
  <c r="AP59" i="38"/>
  <c r="AO59" i="38"/>
  <c r="AN59" i="38"/>
  <c r="AM59" i="38"/>
  <c r="AL59" i="38"/>
  <c r="AK59" i="38"/>
  <c r="AJ59" i="38"/>
  <c r="AI59" i="38"/>
  <c r="AH59" i="38"/>
  <c r="AG59" i="38"/>
  <c r="AF59" i="38"/>
  <c r="AE59" i="38"/>
  <c r="AD59" i="38"/>
  <c r="AC59" i="38"/>
  <c r="AB59" i="38"/>
  <c r="AA59" i="38"/>
  <c r="Z59" i="38"/>
  <c r="Y59" i="38"/>
  <c r="X59" i="38"/>
  <c r="Q59" i="38"/>
  <c r="R59" i="38" s="1"/>
  <c r="T59" i="38" s="1"/>
  <c r="B59" i="38"/>
  <c r="EE58" i="38"/>
  <c r="ED58" i="38"/>
  <c r="EC58" i="38"/>
  <c r="EB58" i="38"/>
  <c r="EA58" i="38"/>
  <c r="DZ58" i="38"/>
  <c r="DY58" i="38"/>
  <c r="DX58" i="38"/>
  <c r="DW58" i="38"/>
  <c r="DV58" i="38"/>
  <c r="DU58" i="38"/>
  <c r="DT58" i="38"/>
  <c r="DS58" i="38"/>
  <c r="DR58" i="38"/>
  <c r="DQ58" i="38"/>
  <c r="DP58" i="38"/>
  <c r="DO58" i="38"/>
  <c r="DN58" i="38"/>
  <c r="DM58" i="38"/>
  <c r="DL58" i="38"/>
  <c r="DK58" i="38"/>
  <c r="DJ58" i="38"/>
  <c r="DI58" i="38"/>
  <c r="DH58" i="38"/>
  <c r="DG58" i="38"/>
  <c r="DF58" i="38"/>
  <c r="DE58" i="38"/>
  <c r="DD58" i="38"/>
  <c r="DC58" i="38"/>
  <c r="DB58" i="38"/>
  <c r="DA58" i="38"/>
  <c r="CZ58" i="38"/>
  <c r="CY58" i="38"/>
  <c r="CX58" i="38"/>
  <c r="CW58" i="38"/>
  <c r="CV58" i="38"/>
  <c r="CU58" i="38"/>
  <c r="CT58" i="38"/>
  <c r="CS58" i="38"/>
  <c r="CR58" i="38"/>
  <c r="CQ58" i="38"/>
  <c r="CP58" i="38"/>
  <c r="CO58" i="38"/>
  <c r="CN58" i="38"/>
  <c r="CM58" i="38"/>
  <c r="CL58" i="38"/>
  <c r="CK58" i="38"/>
  <c r="CJ58" i="38"/>
  <c r="CI58" i="38"/>
  <c r="CH58" i="38"/>
  <c r="CG58" i="38"/>
  <c r="CF58" i="38"/>
  <c r="CE58" i="38"/>
  <c r="CD58" i="38"/>
  <c r="CC58" i="38"/>
  <c r="CB58" i="38"/>
  <c r="CA58" i="38"/>
  <c r="BZ58" i="38"/>
  <c r="BY58" i="38"/>
  <c r="BX58" i="38"/>
  <c r="BW58" i="38"/>
  <c r="BV58" i="38"/>
  <c r="BU58" i="38"/>
  <c r="BT58" i="38"/>
  <c r="BS58" i="38"/>
  <c r="BR58" i="38"/>
  <c r="BQ58" i="38"/>
  <c r="BP58" i="38"/>
  <c r="BO58" i="38"/>
  <c r="BN58" i="38"/>
  <c r="BM58" i="38"/>
  <c r="BL58" i="38"/>
  <c r="BK58" i="38"/>
  <c r="BJ58" i="38"/>
  <c r="BI58" i="38"/>
  <c r="BH58" i="38"/>
  <c r="BG58" i="38"/>
  <c r="BF58" i="38"/>
  <c r="BE58" i="38"/>
  <c r="BD58" i="38"/>
  <c r="BC58" i="38"/>
  <c r="BB58" i="38"/>
  <c r="BA58" i="38"/>
  <c r="AZ58" i="38"/>
  <c r="AY58" i="38"/>
  <c r="AX58" i="38"/>
  <c r="AW58" i="38"/>
  <c r="AV58" i="38"/>
  <c r="AU58" i="38"/>
  <c r="AT58" i="38"/>
  <c r="AS58" i="38"/>
  <c r="AR58" i="38"/>
  <c r="AQ58" i="38"/>
  <c r="AP58" i="38"/>
  <c r="AO58" i="38"/>
  <c r="AN58" i="38"/>
  <c r="AM58" i="38"/>
  <c r="AL58" i="38"/>
  <c r="AK58" i="38"/>
  <c r="AJ58" i="38"/>
  <c r="AI58" i="38"/>
  <c r="AH58" i="38"/>
  <c r="AG58" i="38"/>
  <c r="AF58" i="38"/>
  <c r="AE58" i="38"/>
  <c r="AD58" i="38"/>
  <c r="AC58" i="38"/>
  <c r="AB58" i="38"/>
  <c r="AA58" i="38"/>
  <c r="Z58" i="38"/>
  <c r="Y58" i="38"/>
  <c r="X58" i="38"/>
  <c r="Q58" i="38"/>
  <c r="B58" i="38"/>
  <c r="EE57" i="38"/>
  <c r="ED57" i="38"/>
  <c r="EC57" i="38"/>
  <c r="EB57" i="38"/>
  <c r="EA57" i="38"/>
  <c r="DZ57" i="38"/>
  <c r="DY57" i="38"/>
  <c r="DX57" i="38"/>
  <c r="DW57" i="38"/>
  <c r="DV57" i="38"/>
  <c r="DU57" i="38"/>
  <c r="DT57" i="38"/>
  <c r="DS57" i="38"/>
  <c r="DR57" i="38"/>
  <c r="DQ57" i="38"/>
  <c r="DP57" i="38"/>
  <c r="DO57" i="38"/>
  <c r="DN57" i="38"/>
  <c r="DM57" i="38"/>
  <c r="DL57" i="38"/>
  <c r="DK57" i="38"/>
  <c r="DJ57" i="38"/>
  <c r="DI57" i="38"/>
  <c r="DH57" i="38"/>
  <c r="DG57" i="38"/>
  <c r="DF57" i="38"/>
  <c r="DE57" i="38"/>
  <c r="DD57" i="38"/>
  <c r="DC57" i="38"/>
  <c r="DB57" i="38"/>
  <c r="DA57" i="38"/>
  <c r="CZ57" i="38"/>
  <c r="CY57" i="38"/>
  <c r="CX57" i="38"/>
  <c r="CW57" i="38"/>
  <c r="CV57" i="38"/>
  <c r="CU57" i="38"/>
  <c r="CT57" i="38"/>
  <c r="CS57" i="38"/>
  <c r="CR57" i="38"/>
  <c r="CQ57" i="38"/>
  <c r="CP57" i="38"/>
  <c r="CO57" i="38"/>
  <c r="CN57" i="38"/>
  <c r="CM57" i="38"/>
  <c r="CL57" i="38"/>
  <c r="CK57" i="38"/>
  <c r="CJ57" i="38"/>
  <c r="CI57" i="38"/>
  <c r="CH57" i="38"/>
  <c r="CG57" i="38"/>
  <c r="CF57" i="38"/>
  <c r="CE57" i="38"/>
  <c r="CD57" i="38"/>
  <c r="CC57" i="38"/>
  <c r="CB57" i="38"/>
  <c r="CA57" i="38"/>
  <c r="BZ57" i="38"/>
  <c r="BY57" i="38"/>
  <c r="BX57" i="38"/>
  <c r="BW57" i="38"/>
  <c r="BV57" i="38"/>
  <c r="BU57" i="38"/>
  <c r="BT57" i="38"/>
  <c r="BS57" i="38"/>
  <c r="BR57" i="38"/>
  <c r="BQ57" i="38"/>
  <c r="BP57" i="38"/>
  <c r="BO57" i="38"/>
  <c r="BN57" i="38"/>
  <c r="BM57" i="38"/>
  <c r="BL57" i="38"/>
  <c r="BK57" i="38"/>
  <c r="BJ57" i="38"/>
  <c r="BI57" i="38"/>
  <c r="BH57" i="38"/>
  <c r="BG57" i="38"/>
  <c r="BF57" i="38"/>
  <c r="BE57" i="38"/>
  <c r="BD57" i="38"/>
  <c r="BC57" i="38"/>
  <c r="BB57" i="38"/>
  <c r="BA57" i="38"/>
  <c r="AZ57" i="38"/>
  <c r="AY57" i="38"/>
  <c r="AX57" i="38"/>
  <c r="AW57" i="38"/>
  <c r="AV57" i="38"/>
  <c r="AU57" i="38"/>
  <c r="AT57" i="38"/>
  <c r="AS57" i="38"/>
  <c r="AR57" i="38"/>
  <c r="AQ57" i="38"/>
  <c r="AP57" i="38"/>
  <c r="AO57" i="38"/>
  <c r="AN57" i="38"/>
  <c r="AM57" i="38"/>
  <c r="AL57" i="38"/>
  <c r="AK57" i="38"/>
  <c r="AJ57" i="38"/>
  <c r="AI57" i="38"/>
  <c r="AH57" i="38"/>
  <c r="AG57" i="38"/>
  <c r="AF57" i="38"/>
  <c r="AE57" i="38"/>
  <c r="AD57" i="38"/>
  <c r="AC57" i="38"/>
  <c r="AB57" i="38"/>
  <c r="AA57" i="38"/>
  <c r="Z57" i="38"/>
  <c r="Y57" i="38"/>
  <c r="X57" i="38"/>
  <c r="Q57" i="38"/>
  <c r="B57" i="38"/>
  <c r="EE56" i="38"/>
  <c r="ED56" i="38"/>
  <c r="EC56" i="38"/>
  <c r="EB56" i="38"/>
  <c r="EA56" i="38"/>
  <c r="DZ56" i="38"/>
  <c r="DY56" i="38"/>
  <c r="DX56" i="38"/>
  <c r="DW56" i="38"/>
  <c r="DV56" i="38"/>
  <c r="DU56" i="38"/>
  <c r="DT56" i="38"/>
  <c r="DS56" i="38"/>
  <c r="DR56" i="38"/>
  <c r="DQ56" i="38"/>
  <c r="DP56" i="38"/>
  <c r="DO56" i="38"/>
  <c r="DN56" i="38"/>
  <c r="DM56" i="38"/>
  <c r="DL56" i="38"/>
  <c r="DK56" i="38"/>
  <c r="DJ56" i="38"/>
  <c r="DI56" i="38"/>
  <c r="DH56" i="38"/>
  <c r="DG56" i="38"/>
  <c r="DF56" i="38"/>
  <c r="DE56" i="38"/>
  <c r="DD56" i="38"/>
  <c r="DC56" i="38"/>
  <c r="DB56" i="38"/>
  <c r="DA56" i="38"/>
  <c r="CZ56" i="38"/>
  <c r="CY56" i="38"/>
  <c r="CX56" i="38"/>
  <c r="CW56" i="38"/>
  <c r="CV56" i="38"/>
  <c r="CU56" i="38"/>
  <c r="CT56" i="38"/>
  <c r="CS56" i="38"/>
  <c r="CR56" i="38"/>
  <c r="CQ56" i="38"/>
  <c r="CP56" i="38"/>
  <c r="CO56" i="38"/>
  <c r="CN56" i="38"/>
  <c r="CM56" i="38"/>
  <c r="CL56" i="38"/>
  <c r="CK56" i="38"/>
  <c r="CJ56" i="38"/>
  <c r="CI56" i="38"/>
  <c r="CH56" i="38"/>
  <c r="CG56" i="38"/>
  <c r="CF56" i="38"/>
  <c r="CE56" i="38"/>
  <c r="CD56" i="38"/>
  <c r="CC56" i="38"/>
  <c r="CB56" i="38"/>
  <c r="CA56" i="38"/>
  <c r="BZ56" i="38"/>
  <c r="BY56" i="38"/>
  <c r="BX56" i="38"/>
  <c r="BW56" i="38"/>
  <c r="BV56" i="38"/>
  <c r="BU56" i="38"/>
  <c r="BT56" i="38"/>
  <c r="BS56" i="38"/>
  <c r="BR56" i="38"/>
  <c r="BQ56" i="38"/>
  <c r="BP56" i="38"/>
  <c r="BO56" i="38"/>
  <c r="BN56" i="38"/>
  <c r="BM56" i="38"/>
  <c r="BL56" i="38"/>
  <c r="BK56" i="38"/>
  <c r="BJ56" i="38"/>
  <c r="BI56" i="38"/>
  <c r="BH56" i="38"/>
  <c r="BG56" i="38"/>
  <c r="BF56" i="38"/>
  <c r="BE56" i="38"/>
  <c r="BD56" i="38"/>
  <c r="BC56" i="38"/>
  <c r="BB56" i="38"/>
  <c r="BA56" i="38"/>
  <c r="AZ56" i="38"/>
  <c r="AY56" i="38"/>
  <c r="AX56" i="38"/>
  <c r="AW56" i="38"/>
  <c r="AV56" i="38"/>
  <c r="AU56" i="38"/>
  <c r="AT56" i="38"/>
  <c r="AS56" i="38"/>
  <c r="AR56" i="38"/>
  <c r="AQ56" i="38"/>
  <c r="AP56" i="38"/>
  <c r="AO56" i="38"/>
  <c r="AN56" i="38"/>
  <c r="AM56" i="38"/>
  <c r="AL56" i="38"/>
  <c r="AK56" i="38"/>
  <c r="AJ56" i="38"/>
  <c r="AI56" i="38"/>
  <c r="AH56" i="38"/>
  <c r="AG56" i="38"/>
  <c r="AF56" i="38"/>
  <c r="AE56" i="38"/>
  <c r="AD56" i="38"/>
  <c r="AC56" i="38"/>
  <c r="AB56" i="38"/>
  <c r="AA56" i="38"/>
  <c r="Z56" i="38"/>
  <c r="Y56" i="38"/>
  <c r="X56" i="38"/>
  <c r="Q56" i="38"/>
  <c r="B56" i="38"/>
  <c r="EE55" i="38"/>
  <c r="ED55" i="38"/>
  <c r="EC55" i="38"/>
  <c r="EB55" i="38"/>
  <c r="EA55" i="38"/>
  <c r="DZ55" i="38"/>
  <c r="DY55" i="38"/>
  <c r="DX55" i="38"/>
  <c r="DW55" i="38"/>
  <c r="DV55" i="38"/>
  <c r="DU55" i="38"/>
  <c r="DT55" i="38"/>
  <c r="DS55" i="38"/>
  <c r="DR55" i="38"/>
  <c r="DQ55" i="38"/>
  <c r="DP55" i="38"/>
  <c r="DO55" i="38"/>
  <c r="DN55" i="38"/>
  <c r="DM55" i="38"/>
  <c r="DL55" i="38"/>
  <c r="DK55" i="38"/>
  <c r="DJ55" i="38"/>
  <c r="DI55" i="38"/>
  <c r="DH55" i="38"/>
  <c r="DG55" i="38"/>
  <c r="DF55" i="38"/>
  <c r="DE55" i="38"/>
  <c r="DD55" i="38"/>
  <c r="DC55" i="38"/>
  <c r="DB55" i="38"/>
  <c r="DA55" i="38"/>
  <c r="CZ55" i="38"/>
  <c r="CY55" i="38"/>
  <c r="CX55" i="38"/>
  <c r="CW55" i="38"/>
  <c r="CV55" i="38"/>
  <c r="CU55" i="38"/>
  <c r="CT55" i="38"/>
  <c r="CS55" i="38"/>
  <c r="CR55" i="38"/>
  <c r="CQ55" i="38"/>
  <c r="CP55" i="38"/>
  <c r="CO55" i="38"/>
  <c r="CN55" i="38"/>
  <c r="CM55" i="38"/>
  <c r="CL55" i="38"/>
  <c r="CK55" i="38"/>
  <c r="CJ55" i="38"/>
  <c r="CI55" i="38"/>
  <c r="CH55" i="38"/>
  <c r="CG55" i="38"/>
  <c r="CF55" i="38"/>
  <c r="CE55" i="38"/>
  <c r="CD55" i="38"/>
  <c r="CC55" i="38"/>
  <c r="CB55" i="38"/>
  <c r="CA55" i="38"/>
  <c r="BZ55" i="38"/>
  <c r="BY55" i="38"/>
  <c r="BX55" i="38"/>
  <c r="BW55" i="38"/>
  <c r="BV55" i="38"/>
  <c r="BU55" i="38"/>
  <c r="BT55" i="38"/>
  <c r="BS55" i="38"/>
  <c r="BR55" i="38"/>
  <c r="BQ55" i="38"/>
  <c r="BP55" i="38"/>
  <c r="BO55" i="38"/>
  <c r="BN55" i="38"/>
  <c r="BM55" i="38"/>
  <c r="BL55" i="38"/>
  <c r="BK55" i="38"/>
  <c r="BJ55" i="38"/>
  <c r="BI55" i="38"/>
  <c r="BH55" i="38"/>
  <c r="BG55" i="38"/>
  <c r="BF55" i="38"/>
  <c r="BE55" i="38"/>
  <c r="BD55" i="38"/>
  <c r="BC55" i="38"/>
  <c r="BB55" i="38"/>
  <c r="BA55" i="38"/>
  <c r="AZ55" i="38"/>
  <c r="AY55" i="38"/>
  <c r="AX55" i="38"/>
  <c r="AW55" i="38"/>
  <c r="AV55" i="38"/>
  <c r="AU55" i="38"/>
  <c r="AT55" i="38"/>
  <c r="AS55" i="38"/>
  <c r="AR55" i="38"/>
  <c r="AQ55" i="38"/>
  <c r="AP55" i="38"/>
  <c r="AO55" i="38"/>
  <c r="AN55" i="38"/>
  <c r="AM55" i="38"/>
  <c r="AL55" i="38"/>
  <c r="AK55" i="38"/>
  <c r="AJ55" i="38"/>
  <c r="AI55" i="38"/>
  <c r="AH55" i="38"/>
  <c r="AG55" i="38"/>
  <c r="AF55" i="38"/>
  <c r="AE55" i="38"/>
  <c r="AD55" i="38"/>
  <c r="AC55" i="38"/>
  <c r="AB55" i="38"/>
  <c r="AA55" i="38"/>
  <c r="Z55" i="38"/>
  <c r="Y55" i="38"/>
  <c r="X55" i="38"/>
  <c r="Q55" i="38"/>
  <c r="B55" i="38"/>
  <c r="EE54" i="38"/>
  <c r="ED54" i="38"/>
  <c r="EC54" i="38"/>
  <c r="EB54" i="38"/>
  <c r="EA54" i="38"/>
  <c r="DZ54" i="38"/>
  <c r="DY54" i="38"/>
  <c r="DX54" i="38"/>
  <c r="DW54" i="38"/>
  <c r="DV54" i="38"/>
  <c r="DU54" i="38"/>
  <c r="DT54" i="38"/>
  <c r="DS54" i="38"/>
  <c r="DR54" i="38"/>
  <c r="DQ54" i="38"/>
  <c r="DP54" i="38"/>
  <c r="DO54" i="38"/>
  <c r="DN54" i="38"/>
  <c r="DM54" i="38"/>
  <c r="DL54" i="38"/>
  <c r="DK54" i="38"/>
  <c r="DJ54" i="38"/>
  <c r="DI54" i="38"/>
  <c r="DH54" i="38"/>
  <c r="DG54" i="38"/>
  <c r="DF54" i="38"/>
  <c r="DE54" i="38"/>
  <c r="DD54" i="38"/>
  <c r="DC54" i="38"/>
  <c r="DB54" i="38"/>
  <c r="DA54" i="38"/>
  <c r="CZ54" i="38"/>
  <c r="CY54" i="38"/>
  <c r="CX54" i="38"/>
  <c r="CW54" i="38"/>
  <c r="CV54" i="38"/>
  <c r="CU54" i="38"/>
  <c r="CT54" i="38"/>
  <c r="CS54" i="38"/>
  <c r="CR54" i="38"/>
  <c r="CQ54" i="38"/>
  <c r="CP54" i="38"/>
  <c r="CO54" i="38"/>
  <c r="CN54" i="38"/>
  <c r="CM54" i="38"/>
  <c r="CL54" i="38"/>
  <c r="CK54" i="38"/>
  <c r="CJ54" i="38"/>
  <c r="CI54" i="38"/>
  <c r="CH54" i="38"/>
  <c r="CG54" i="38"/>
  <c r="CF54" i="38"/>
  <c r="CE54" i="38"/>
  <c r="CD54" i="38"/>
  <c r="CC54" i="38"/>
  <c r="CB54" i="38"/>
  <c r="CA54" i="38"/>
  <c r="BZ54" i="38"/>
  <c r="BY54" i="38"/>
  <c r="BX54" i="38"/>
  <c r="BW54" i="38"/>
  <c r="BV54" i="38"/>
  <c r="BU54" i="38"/>
  <c r="BT54" i="38"/>
  <c r="BS54" i="38"/>
  <c r="BR54" i="38"/>
  <c r="BQ54" i="38"/>
  <c r="BP54" i="38"/>
  <c r="BO54" i="38"/>
  <c r="BN54" i="38"/>
  <c r="BM54" i="38"/>
  <c r="BL54" i="38"/>
  <c r="BK54" i="38"/>
  <c r="BJ54" i="38"/>
  <c r="BI54" i="38"/>
  <c r="BH54" i="38"/>
  <c r="BG54" i="38"/>
  <c r="BF54" i="38"/>
  <c r="BE54" i="38"/>
  <c r="BD54" i="38"/>
  <c r="BC54" i="38"/>
  <c r="BB54" i="38"/>
  <c r="BA54" i="38"/>
  <c r="AZ54" i="38"/>
  <c r="AY54" i="38"/>
  <c r="AX54" i="38"/>
  <c r="AW54" i="38"/>
  <c r="AV54" i="38"/>
  <c r="AU54" i="38"/>
  <c r="AT54" i="38"/>
  <c r="AS54" i="38"/>
  <c r="AR54" i="38"/>
  <c r="AQ54" i="38"/>
  <c r="AP54" i="38"/>
  <c r="AO54" i="38"/>
  <c r="AN54" i="38"/>
  <c r="AM54" i="38"/>
  <c r="AL54" i="38"/>
  <c r="AK54" i="38"/>
  <c r="AJ54" i="38"/>
  <c r="AI54" i="38"/>
  <c r="AH54" i="38"/>
  <c r="AG54" i="38"/>
  <c r="AF54" i="38"/>
  <c r="AE54" i="38"/>
  <c r="AD54" i="38"/>
  <c r="AC54" i="38"/>
  <c r="AB54" i="38"/>
  <c r="AA54" i="38"/>
  <c r="Z54" i="38"/>
  <c r="Y54" i="38"/>
  <c r="X54" i="38"/>
  <c r="Q54" i="38"/>
  <c r="R54" i="38" s="1"/>
  <c r="S54" i="38" s="1"/>
  <c r="B54" i="38"/>
  <c r="EE53" i="38"/>
  <c r="ED53" i="38"/>
  <c r="EC53" i="38"/>
  <c r="EB53" i="38"/>
  <c r="EA53" i="38"/>
  <c r="DZ53" i="38"/>
  <c r="DY53" i="38"/>
  <c r="DX53" i="38"/>
  <c r="DW53" i="38"/>
  <c r="DV53" i="38"/>
  <c r="DU53" i="38"/>
  <c r="DT53" i="38"/>
  <c r="DS53" i="38"/>
  <c r="DR53" i="38"/>
  <c r="DQ53" i="38"/>
  <c r="DP53" i="38"/>
  <c r="DO53" i="38"/>
  <c r="DN53" i="38"/>
  <c r="DM53" i="38"/>
  <c r="DL53" i="38"/>
  <c r="DK53" i="38"/>
  <c r="DJ53" i="38"/>
  <c r="DI53" i="38"/>
  <c r="DH53" i="38"/>
  <c r="DG53" i="38"/>
  <c r="DF53" i="38"/>
  <c r="DE53" i="38"/>
  <c r="DD53" i="38"/>
  <c r="DC53" i="38"/>
  <c r="DB53" i="38"/>
  <c r="DA53" i="38"/>
  <c r="CZ53" i="38"/>
  <c r="CY53" i="38"/>
  <c r="CX53" i="38"/>
  <c r="CW53" i="38"/>
  <c r="CV53" i="38"/>
  <c r="CU53" i="38"/>
  <c r="CT53" i="38"/>
  <c r="CS53" i="38"/>
  <c r="CR53" i="38"/>
  <c r="CQ53" i="38"/>
  <c r="CP53" i="38"/>
  <c r="CO53" i="38"/>
  <c r="CN53" i="38"/>
  <c r="CM53" i="38"/>
  <c r="CL53" i="38"/>
  <c r="CK53" i="38"/>
  <c r="CJ53" i="38"/>
  <c r="CI53" i="38"/>
  <c r="CH53" i="38"/>
  <c r="CG53" i="38"/>
  <c r="CF53" i="38"/>
  <c r="CE53" i="38"/>
  <c r="CD53" i="38"/>
  <c r="CC53" i="38"/>
  <c r="CB53" i="38"/>
  <c r="CA53" i="38"/>
  <c r="BZ53" i="38"/>
  <c r="BY53" i="38"/>
  <c r="BX53" i="38"/>
  <c r="BW53" i="38"/>
  <c r="BV53" i="38"/>
  <c r="BU53" i="38"/>
  <c r="BT53" i="38"/>
  <c r="BS53" i="38"/>
  <c r="BR53" i="38"/>
  <c r="BQ53" i="38"/>
  <c r="BP53" i="38"/>
  <c r="BO53" i="38"/>
  <c r="BN53" i="38"/>
  <c r="BM53" i="38"/>
  <c r="BL53" i="38"/>
  <c r="BK53" i="38"/>
  <c r="BJ53" i="38"/>
  <c r="BI53" i="38"/>
  <c r="BH53" i="38"/>
  <c r="BG53" i="38"/>
  <c r="BF53" i="38"/>
  <c r="BE53" i="38"/>
  <c r="BD53" i="38"/>
  <c r="BC53" i="38"/>
  <c r="BB53" i="38"/>
  <c r="BA53" i="38"/>
  <c r="AZ53" i="38"/>
  <c r="AY53" i="38"/>
  <c r="AX53" i="38"/>
  <c r="AW53" i="38"/>
  <c r="AV53" i="38"/>
  <c r="AU53" i="38"/>
  <c r="AT53" i="38"/>
  <c r="AS53" i="38"/>
  <c r="AR53" i="38"/>
  <c r="AQ53" i="38"/>
  <c r="AP53" i="38"/>
  <c r="AO53" i="38"/>
  <c r="AN53" i="38"/>
  <c r="AM53" i="38"/>
  <c r="AL53" i="38"/>
  <c r="AK53" i="38"/>
  <c r="AJ53" i="38"/>
  <c r="AI53" i="38"/>
  <c r="AH53" i="38"/>
  <c r="AG53" i="38"/>
  <c r="AF53" i="38"/>
  <c r="AE53" i="38"/>
  <c r="AD53" i="38"/>
  <c r="AC53" i="38"/>
  <c r="AB53" i="38"/>
  <c r="AA53" i="38"/>
  <c r="Z53" i="38"/>
  <c r="Y53" i="38"/>
  <c r="X53" i="38"/>
  <c r="Q53" i="38"/>
  <c r="B53" i="38"/>
  <c r="EE52" i="38"/>
  <c r="ED52" i="38"/>
  <c r="EC52" i="38"/>
  <c r="EB52" i="38"/>
  <c r="EA52" i="38"/>
  <c r="DZ52" i="38"/>
  <c r="DY52" i="38"/>
  <c r="DX52" i="38"/>
  <c r="DW52" i="38"/>
  <c r="DV52" i="38"/>
  <c r="DU52" i="38"/>
  <c r="DT52" i="38"/>
  <c r="DS52" i="38"/>
  <c r="DR52" i="38"/>
  <c r="DQ52" i="38"/>
  <c r="DP52" i="38"/>
  <c r="DO52" i="38"/>
  <c r="DN52" i="38"/>
  <c r="DM52" i="38"/>
  <c r="DL52" i="38"/>
  <c r="DK52" i="38"/>
  <c r="DJ52" i="38"/>
  <c r="DI52" i="38"/>
  <c r="DH52" i="38"/>
  <c r="DG52" i="38"/>
  <c r="DF52" i="38"/>
  <c r="DE52" i="38"/>
  <c r="DD52" i="38"/>
  <c r="DC52" i="38"/>
  <c r="DB52" i="38"/>
  <c r="DA52" i="38"/>
  <c r="CZ52" i="38"/>
  <c r="CY52" i="38"/>
  <c r="CX52" i="38"/>
  <c r="CW52" i="38"/>
  <c r="CV52" i="38"/>
  <c r="CU52" i="38"/>
  <c r="CT52" i="38"/>
  <c r="CS52" i="38"/>
  <c r="CR52" i="38"/>
  <c r="CQ52" i="38"/>
  <c r="CP52" i="38"/>
  <c r="CO52" i="38"/>
  <c r="CN52" i="38"/>
  <c r="CM52" i="38"/>
  <c r="CL52" i="38"/>
  <c r="CK52" i="38"/>
  <c r="CJ52" i="38"/>
  <c r="CI52" i="38"/>
  <c r="CH52" i="38"/>
  <c r="CG52" i="38"/>
  <c r="CF52" i="38"/>
  <c r="CE52" i="38"/>
  <c r="CD52" i="38"/>
  <c r="CC52" i="38"/>
  <c r="CB52" i="38"/>
  <c r="CA52" i="38"/>
  <c r="BZ52" i="38"/>
  <c r="BY52" i="38"/>
  <c r="BX52" i="38"/>
  <c r="BW52" i="38"/>
  <c r="BV52" i="38"/>
  <c r="BU52" i="38"/>
  <c r="BT52" i="38"/>
  <c r="BS52" i="38"/>
  <c r="BR52" i="38"/>
  <c r="BQ52" i="38"/>
  <c r="BP52" i="38"/>
  <c r="BO52" i="38"/>
  <c r="BN52" i="38"/>
  <c r="BM52" i="38"/>
  <c r="BL52" i="38"/>
  <c r="BK52" i="38"/>
  <c r="BJ52" i="38"/>
  <c r="BI52" i="38"/>
  <c r="BH52" i="38"/>
  <c r="BG52" i="38"/>
  <c r="BF52" i="38"/>
  <c r="BE52" i="38"/>
  <c r="BD52" i="38"/>
  <c r="BC52" i="38"/>
  <c r="BB52" i="38"/>
  <c r="BA52" i="38"/>
  <c r="AZ52" i="38"/>
  <c r="AY52" i="38"/>
  <c r="AX52" i="38"/>
  <c r="AW52" i="38"/>
  <c r="AV52" i="38"/>
  <c r="AU52" i="38"/>
  <c r="AT52" i="38"/>
  <c r="AS52" i="38"/>
  <c r="AR52" i="38"/>
  <c r="AQ52" i="38"/>
  <c r="AP52" i="38"/>
  <c r="AO52" i="38"/>
  <c r="AN52" i="38"/>
  <c r="AM52" i="38"/>
  <c r="AL52" i="38"/>
  <c r="AK52" i="38"/>
  <c r="AJ52" i="38"/>
  <c r="AI52" i="38"/>
  <c r="AH52" i="38"/>
  <c r="AG52" i="38"/>
  <c r="AF52" i="38"/>
  <c r="AE52" i="38"/>
  <c r="AD52" i="38"/>
  <c r="AC52" i="38"/>
  <c r="AB52" i="38"/>
  <c r="AA52" i="38"/>
  <c r="Z52" i="38"/>
  <c r="Y52" i="38"/>
  <c r="X52" i="38"/>
  <c r="Q52" i="38"/>
  <c r="R52" i="38" s="1"/>
  <c r="B52" i="38"/>
  <c r="EE51" i="38"/>
  <c r="ED51" i="38"/>
  <c r="EC51" i="38"/>
  <c r="EB51" i="38"/>
  <c r="EA51" i="38"/>
  <c r="DZ51" i="38"/>
  <c r="DY51" i="38"/>
  <c r="DX51" i="38"/>
  <c r="DW51" i="38"/>
  <c r="DV51" i="38"/>
  <c r="DU51" i="38"/>
  <c r="DT51" i="38"/>
  <c r="DS51" i="38"/>
  <c r="DR51" i="38"/>
  <c r="DQ51" i="38"/>
  <c r="DP51" i="38"/>
  <c r="DO51" i="38"/>
  <c r="DN51" i="38"/>
  <c r="DM51" i="38"/>
  <c r="DL51" i="38"/>
  <c r="DK51" i="38"/>
  <c r="DJ51" i="38"/>
  <c r="DI51" i="38"/>
  <c r="DH51" i="38"/>
  <c r="DG51" i="38"/>
  <c r="DF51" i="38"/>
  <c r="DE51" i="38"/>
  <c r="DD51" i="38"/>
  <c r="DC51" i="38"/>
  <c r="DB51" i="38"/>
  <c r="DA51" i="38"/>
  <c r="CZ51" i="38"/>
  <c r="CY51" i="38"/>
  <c r="CX51" i="38"/>
  <c r="CW51" i="38"/>
  <c r="CV51" i="38"/>
  <c r="CU51" i="38"/>
  <c r="CT51" i="38"/>
  <c r="CS51" i="38"/>
  <c r="CR51" i="38"/>
  <c r="CQ51" i="38"/>
  <c r="CP51" i="38"/>
  <c r="CO51" i="38"/>
  <c r="CN51" i="38"/>
  <c r="CM51" i="38"/>
  <c r="CL51" i="38"/>
  <c r="CK51" i="38"/>
  <c r="CJ51" i="38"/>
  <c r="CI51" i="38"/>
  <c r="CH51" i="38"/>
  <c r="CG51" i="38"/>
  <c r="CF51" i="38"/>
  <c r="CE51" i="38"/>
  <c r="CD51" i="38"/>
  <c r="CC51" i="38"/>
  <c r="CB51" i="38"/>
  <c r="CA51" i="38"/>
  <c r="BZ51" i="38"/>
  <c r="BY51" i="38"/>
  <c r="BX51" i="38"/>
  <c r="BW51" i="38"/>
  <c r="BV51" i="38"/>
  <c r="BU51" i="38"/>
  <c r="BT51" i="38"/>
  <c r="BS51" i="38"/>
  <c r="BR51" i="38"/>
  <c r="BQ51" i="38"/>
  <c r="BP51" i="38"/>
  <c r="BO51" i="38"/>
  <c r="BN51" i="38"/>
  <c r="BM51" i="38"/>
  <c r="BL51" i="38"/>
  <c r="BK51" i="38"/>
  <c r="BJ51" i="38"/>
  <c r="BI51" i="38"/>
  <c r="BH51" i="38"/>
  <c r="BG51" i="38"/>
  <c r="BF51" i="38"/>
  <c r="BE51" i="38"/>
  <c r="BD51" i="38"/>
  <c r="BC51" i="38"/>
  <c r="BB51" i="38"/>
  <c r="BA51" i="38"/>
  <c r="AZ51" i="38"/>
  <c r="AY51" i="38"/>
  <c r="AX51" i="38"/>
  <c r="AW51" i="38"/>
  <c r="AV51" i="38"/>
  <c r="AU51" i="38"/>
  <c r="AT51" i="38"/>
  <c r="AS51" i="38"/>
  <c r="AR51" i="38"/>
  <c r="AQ51" i="38"/>
  <c r="AP51" i="38"/>
  <c r="AO51" i="38"/>
  <c r="AN51" i="38"/>
  <c r="AM51" i="38"/>
  <c r="AL51" i="38"/>
  <c r="AK51" i="38"/>
  <c r="AJ51" i="38"/>
  <c r="AI51" i="38"/>
  <c r="AH51" i="38"/>
  <c r="AG51" i="38"/>
  <c r="AF51" i="38"/>
  <c r="AE51" i="38"/>
  <c r="AD51" i="38"/>
  <c r="AC51" i="38"/>
  <c r="AB51" i="38"/>
  <c r="AA51" i="38"/>
  <c r="Z51" i="38"/>
  <c r="Y51" i="38"/>
  <c r="X51" i="38"/>
  <c r="Q51" i="38"/>
  <c r="R51" i="38" s="1"/>
  <c r="B51" i="38"/>
  <c r="EE50" i="38"/>
  <c r="ED50" i="38"/>
  <c r="EC50" i="38"/>
  <c r="EB50" i="38"/>
  <c r="EA50" i="38"/>
  <c r="DZ50" i="38"/>
  <c r="DY50" i="38"/>
  <c r="DX50" i="38"/>
  <c r="DW50" i="38"/>
  <c r="DV50" i="38"/>
  <c r="DU50" i="38"/>
  <c r="DT50" i="38"/>
  <c r="DS50" i="38"/>
  <c r="DR50" i="38"/>
  <c r="DQ50" i="38"/>
  <c r="DP50" i="38"/>
  <c r="DO50" i="38"/>
  <c r="DN50" i="38"/>
  <c r="DM50" i="38"/>
  <c r="DL50" i="38"/>
  <c r="DK50" i="38"/>
  <c r="DJ50" i="38"/>
  <c r="DI50" i="38"/>
  <c r="DH50" i="38"/>
  <c r="DG50" i="38"/>
  <c r="DF50" i="38"/>
  <c r="DE50" i="38"/>
  <c r="DD50" i="38"/>
  <c r="DC50" i="38"/>
  <c r="DB50" i="38"/>
  <c r="DA50" i="38"/>
  <c r="CZ50" i="38"/>
  <c r="CY50" i="38"/>
  <c r="CX50" i="38"/>
  <c r="CW50" i="38"/>
  <c r="CV50" i="38"/>
  <c r="CU50" i="38"/>
  <c r="CT50" i="38"/>
  <c r="CS50" i="38"/>
  <c r="CR50" i="38"/>
  <c r="CQ50" i="38"/>
  <c r="CP50" i="38"/>
  <c r="CO50" i="38"/>
  <c r="CN50" i="38"/>
  <c r="CM50" i="38"/>
  <c r="CL50" i="38"/>
  <c r="CK50" i="38"/>
  <c r="CJ50" i="38"/>
  <c r="CI50" i="38"/>
  <c r="CH50" i="38"/>
  <c r="CG50" i="38"/>
  <c r="CF50" i="38"/>
  <c r="CE50" i="38"/>
  <c r="CD50" i="38"/>
  <c r="CC50" i="38"/>
  <c r="CB50" i="38"/>
  <c r="CA50" i="38"/>
  <c r="BZ50" i="38"/>
  <c r="BY50" i="38"/>
  <c r="BX50" i="38"/>
  <c r="BW50" i="38"/>
  <c r="BV50" i="38"/>
  <c r="BU50" i="38"/>
  <c r="BT50" i="38"/>
  <c r="BS50" i="38"/>
  <c r="BR50" i="38"/>
  <c r="BQ50" i="38"/>
  <c r="BP50" i="38"/>
  <c r="BO50" i="38"/>
  <c r="BN50" i="38"/>
  <c r="BM50" i="38"/>
  <c r="BL50" i="38"/>
  <c r="BK50" i="38"/>
  <c r="BJ50" i="38"/>
  <c r="BI50" i="38"/>
  <c r="BH50" i="38"/>
  <c r="BG50" i="38"/>
  <c r="BF50" i="38"/>
  <c r="BE50" i="38"/>
  <c r="BD50" i="38"/>
  <c r="BC50" i="38"/>
  <c r="BB50" i="38"/>
  <c r="BA50" i="38"/>
  <c r="AZ50" i="38"/>
  <c r="AY50" i="38"/>
  <c r="AX50" i="38"/>
  <c r="AW50" i="38"/>
  <c r="AV50" i="38"/>
  <c r="AU50" i="38"/>
  <c r="AT50" i="38"/>
  <c r="AS50" i="38"/>
  <c r="AR50" i="38"/>
  <c r="AQ50" i="38"/>
  <c r="AP50" i="38"/>
  <c r="AO50" i="38"/>
  <c r="AN50" i="38"/>
  <c r="AM50" i="38"/>
  <c r="AL50" i="38"/>
  <c r="AK50" i="38"/>
  <c r="AJ50" i="38"/>
  <c r="AI50" i="38"/>
  <c r="AH50" i="38"/>
  <c r="AG50" i="38"/>
  <c r="AF50" i="38"/>
  <c r="AE50" i="38"/>
  <c r="AD50" i="38"/>
  <c r="AC50" i="38"/>
  <c r="AB50" i="38"/>
  <c r="AA50" i="38"/>
  <c r="Z50" i="38"/>
  <c r="Y50" i="38"/>
  <c r="X50" i="38"/>
  <c r="Q50" i="38"/>
  <c r="R50" i="38" s="1"/>
  <c r="S50" i="38" s="1"/>
  <c r="B50" i="38"/>
  <c r="EE47" i="38"/>
  <c r="ED47" i="38"/>
  <c r="EC47" i="38"/>
  <c r="EB47" i="38"/>
  <c r="EA47" i="38"/>
  <c r="DZ47" i="38"/>
  <c r="DY47" i="38"/>
  <c r="DX47" i="38"/>
  <c r="DW47" i="38"/>
  <c r="DV47" i="38"/>
  <c r="DU47" i="38"/>
  <c r="DT47" i="38"/>
  <c r="DS47" i="38"/>
  <c r="DR47" i="38"/>
  <c r="DQ47" i="38"/>
  <c r="DP47" i="38"/>
  <c r="DO47" i="38"/>
  <c r="DN47" i="38"/>
  <c r="DM47" i="38"/>
  <c r="DL47" i="38"/>
  <c r="DK47" i="38"/>
  <c r="DJ47" i="38"/>
  <c r="DI47" i="38"/>
  <c r="DH47" i="38"/>
  <c r="DG47" i="38"/>
  <c r="DF47" i="38"/>
  <c r="DE47" i="38"/>
  <c r="DD47" i="38"/>
  <c r="DC47" i="38"/>
  <c r="DB47" i="38"/>
  <c r="DA47" i="38"/>
  <c r="CZ47" i="38"/>
  <c r="CY47" i="38"/>
  <c r="CX47" i="38"/>
  <c r="CW47" i="38"/>
  <c r="CV47" i="38"/>
  <c r="CU47" i="38"/>
  <c r="CT47" i="38"/>
  <c r="CS47" i="38"/>
  <c r="CR47" i="38"/>
  <c r="CQ47" i="38"/>
  <c r="CP47" i="38"/>
  <c r="CO47" i="38"/>
  <c r="CN47" i="38"/>
  <c r="CM47" i="38"/>
  <c r="CL47" i="38"/>
  <c r="CK47" i="38"/>
  <c r="CJ47" i="38"/>
  <c r="CI47" i="38"/>
  <c r="CH47" i="38"/>
  <c r="CG47" i="38"/>
  <c r="CF47" i="38"/>
  <c r="CE47" i="38"/>
  <c r="CD47" i="38"/>
  <c r="CC47" i="38"/>
  <c r="CB47" i="38"/>
  <c r="CA47" i="38"/>
  <c r="BZ47" i="38"/>
  <c r="BY47" i="38"/>
  <c r="BX47" i="38"/>
  <c r="BW47" i="38"/>
  <c r="BV47" i="38"/>
  <c r="BU47" i="38"/>
  <c r="BT47" i="38"/>
  <c r="BS47" i="38"/>
  <c r="BR47" i="38"/>
  <c r="BQ47" i="38"/>
  <c r="BP47" i="38"/>
  <c r="BO47" i="38"/>
  <c r="BN47" i="38"/>
  <c r="BM47" i="38"/>
  <c r="BL47" i="38"/>
  <c r="BK47" i="38"/>
  <c r="BJ47" i="38"/>
  <c r="BI47" i="38"/>
  <c r="BH47" i="38"/>
  <c r="BG47" i="38"/>
  <c r="BF47" i="38"/>
  <c r="BE47" i="38"/>
  <c r="BD47" i="38"/>
  <c r="BC47" i="38"/>
  <c r="BB47" i="38"/>
  <c r="BA47" i="38"/>
  <c r="AZ47" i="38"/>
  <c r="AY47" i="38"/>
  <c r="AX47" i="38"/>
  <c r="AW47" i="38"/>
  <c r="AV47" i="38"/>
  <c r="AU47" i="38"/>
  <c r="AT47" i="38"/>
  <c r="AS47" i="38"/>
  <c r="AR47" i="38"/>
  <c r="AQ47" i="38"/>
  <c r="AP47" i="38"/>
  <c r="AO47" i="38"/>
  <c r="AN47" i="38"/>
  <c r="AM47" i="38"/>
  <c r="AL47" i="38"/>
  <c r="AK47" i="38"/>
  <c r="AJ47" i="38"/>
  <c r="AI47" i="38"/>
  <c r="AH47" i="38"/>
  <c r="AG47" i="38"/>
  <c r="AF47" i="38"/>
  <c r="AE47" i="38"/>
  <c r="AD47" i="38"/>
  <c r="AC47" i="38"/>
  <c r="AB47" i="38"/>
  <c r="AA47" i="38"/>
  <c r="Z47" i="38"/>
  <c r="Y47" i="38"/>
  <c r="X47" i="38"/>
  <c r="Q47" i="38"/>
  <c r="R47" i="38" s="1"/>
  <c r="EE46" i="38"/>
  <c r="ED46" i="38"/>
  <c r="EC46" i="38"/>
  <c r="EB46" i="38"/>
  <c r="EA46" i="38"/>
  <c r="DZ46" i="38"/>
  <c r="DY46" i="38"/>
  <c r="DX46" i="38"/>
  <c r="DW46" i="38"/>
  <c r="DV46" i="38"/>
  <c r="DU46" i="38"/>
  <c r="DT46" i="38"/>
  <c r="DS46" i="38"/>
  <c r="DR46" i="38"/>
  <c r="DQ46" i="38"/>
  <c r="DP46" i="38"/>
  <c r="DO46" i="38"/>
  <c r="DN46" i="38"/>
  <c r="DM46" i="38"/>
  <c r="DL46" i="38"/>
  <c r="DK46" i="38"/>
  <c r="DJ46" i="38"/>
  <c r="DI46" i="38"/>
  <c r="DH46" i="38"/>
  <c r="DG46" i="38"/>
  <c r="DF46" i="38"/>
  <c r="DE46" i="38"/>
  <c r="DD46" i="38"/>
  <c r="DC46" i="38"/>
  <c r="DB46" i="38"/>
  <c r="DA46" i="38"/>
  <c r="CZ46" i="38"/>
  <c r="CY46" i="38"/>
  <c r="CX46" i="38"/>
  <c r="CW46" i="38"/>
  <c r="CV46" i="38"/>
  <c r="CU46" i="38"/>
  <c r="CT46" i="38"/>
  <c r="CS46" i="38"/>
  <c r="CR46" i="38"/>
  <c r="CQ46" i="38"/>
  <c r="CP46" i="38"/>
  <c r="CO46" i="38"/>
  <c r="CN46" i="38"/>
  <c r="CM46" i="38"/>
  <c r="CL46" i="38"/>
  <c r="CK46" i="38"/>
  <c r="CJ46" i="38"/>
  <c r="CI46" i="38"/>
  <c r="CH46" i="38"/>
  <c r="CG46" i="38"/>
  <c r="CF46" i="38"/>
  <c r="CE46" i="38"/>
  <c r="CD46" i="38"/>
  <c r="CC46" i="38"/>
  <c r="CB46" i="38"/>
  <c r="CA46" i="38"/>
  <c r="BZ46" i="38"/>
  <c r="BY46" i="38"/>
  <c r="BX46" i="38"/>
  <c r="BW46" i="38"/>
  <c r="BV46" i="38"/>
  <c r="BU46" i="38"/>
  <c r="BT46" i="38"/>
  <c r="BS46" i="38"/>
  <c r="BR46" i="38"/>
  <c r="BQ46" i="38"/>
  <c r="BP46" i="38"/>
  <c r="BO46" i="38"/>
  <c r="BN46" i="38"/>
  <c r="BM46" i="38"/>
  <c r="BL46" i="38"/>
  <c r="BK46" i="38"/>
  <c r="BJ46" i="38"/>
  <c r="BI46" i="38"/>
  <c r="BH46" i="38"/>
  <c r="BG46" i="38"/>
  <c r="BF46" i="38"/>
  <c r="BE46" i="38"/>
  <c r="BD46" i="38"/>
  <c r="BC46" i="38"/>
  <c r="BB46" i="38"/>
  <c r="BA46" i="38"/>
  <c r="AZ46" i="38"/>
  <c r="AY46" i="38"/>
  <c r="AX46" i="38"/>
  <c r="AW46" i="38"/>
  <c r="AV46" i="38"/>
  <c r="AU46" i="38"/>
  <c r="AT46" i="38"/>
  <c r="AS46" i="38"/>
  <c r="AR46" i="38"/>
  <c r="AQ46" i="38"/>
  <c r="AP46" i="38"/>
  <c r="AO46" i="38"/>
  <c r="AN46" i="38"/>
  <c r="AM46" i="38"/>
  <c r="AL46" i="38"/>
  <c r="AK46" i="38"/>
  <c r="AJ46" i="38"/>
  <c r="AI46" i="38"/>
  <c r="AH46" i="38"/>
  <c r="AG46" i="38"/>
  <c r="AF46" i="38"/>
  <c r="AE46" i="38"/>
  <c r="AD46" i="38"/>
  <c r="AC46" i="38"/>
  <c r="AB46" i="38"/>
  <c r="AA46" i="38"/>
  <c r="Z46" i="38"/>
  <c r="Y46" i="38"/>
  <c r="X46" i="38"/>
  <c r="Q46" i="38"/>
  <c r="EE45" i="38"/>
  <c r="ED45" i="38"/>
  <c r="EC45" i="38"/>
  <c r="EB45" i="38"/>
  <c r="EA45" i="38"/>
  <c r="DZ45" i="38"/>
  <c r="DY45" i="38"/>
  <c r="DX45" i="38"/>
  <c r="DW45" i="38"/>
  <c r="DV45" i="38"/>
  <c r="DU45" i="38"/>
  <c r="DT45" i="38"/>
  <c r="DS45" i="38"/>
  <c r="DR45" i="38"/>
  <c r="DQ45" i="38"/>
  <c r="DP45" i="38"/>
  <c r="DO45" i="38"/>
  <c r="DN45" i="38"/>
  <c r="DM45" i="38"/>
  <c r="DL45" i="38"/>
  <c r="DK45" i="38"/>
  <c r="DJ45" i="38"/>
  <c r="DI45" i="38"/>
  <c r="DH45" i="38"/>
  <c r="DG45" i="38"/>
  <c r="DF45" i="38"/>
  <c r="DE45" i="38"/>
  <c r="DD45" i="38"/>
  <c r="DC45" i="38"/>
  <c r="DB45" i="38"/>
  <c r="DA45" i="38"/>
  <c r="CZ45" i="38"/>
  <c r="CY45" i="38"/>
  <c r="CX45" i="38"/>
  <c r="CW45" i="38"/>
  <c r="CV45" i="38"/>
  <c r="CU45" i="38"/>
  <c r="CT45" i="38"/>
  <c r="CS45" i="38"/>
  <c r="CR45" i="38"/>
  <c r="CQ45" i="38"/>
  <c r="CP45" i="38"/>
  <c r="CO45" i="38"/>
  <c r="CN45" i="38"/>
  <c r="CM45" i="38"/>
  <c r="CL45" i="38"/>
  <c r="CK45" i="38"/>
  <c r="CJ45" i="38"/>
  <c r="CI45" i="38"/>
  <c r="CH45" i="38"/>
  <c r="CG45" i="38"/>
  <c r="CF45" i="38"/>
  <c r="CE45" i="38"/>
  <c r="CD45" i="38"/>
  <c r="CC45" i="38"/>
  <c r="CB45" i="38"/>
  <c r="CA45" i="38"/>
  <c r="BZ45" i="38"/>
  <c r="BY45" i="38"/>
  <c r="BX45" i="38"/>
  <c r="BW45" i="38"/>
  <c r="BV45" i="38"/>
  <c r="BU45" i="38"/>
  <c r="BT45" i="38"/>
  <c r="BS45" i="38"/>
  <c r="BR45" i="38"/>
  <c r="BQ45" i="38"/>
  <c r="BP45" i="38"/>
  <c r="BO45" i="38"/>
  <c r="BN45" i="38"/>
  <c r="BM45" i="38"/>
  <c r="BL45" i="38"/>
  <c r="BK45" i="38"/>
  <c r="BJ45" i="38"/>
  <c r="BI45" i="38"/>
  <c r="BH45" i="38"/>
  <c r="BG45" i="38"/>
  <c r="BF45" i="38"/>
  <c r="BE45" i="38"/>
  <c r="BD45" i="38"/>
  <c r="BC45" i="38"/>
  <c r="BB45" i="38"/>
  <c r="BA45" i="38"/>
  <c r="AZ45" i="38"/>
  <c r="AY45" i="38"/>
  <c r="AX45" i="38"/>
  <c r="AW45" i="38"/>
  <c r="AV45" i="38"/>
  <c r="AU45" i="38"/>
  <c r="AT45" i="38"/>
  <c r="AS45" i="38"/>
  <c r="AR45" i="38"/>
  <c r="AQ45" i="38"/>
  <c r="AP45" i="38"/>
  <c r="AO45" i="38"/>
  <c r="AN45" i="38"/>
  <c r="AM45" i="38"/>
  <c r="AL45" i="38"/>
  <c r="AK45" i="38"/>
  <c r="AJ45" i="38"/>
  <c r="AI45" i="38"/>
  <c r="AH45" i="38"/>
  <c r="AG45" i="38"/>
  <c r="AF45" i="38"/>
  <c r="AE45" i="38"/>
  <c r="AD45" i="38"/>
  <c r="AC45" i="38"/>
  <c r="AB45" i="38"/>
  <c r="AA45" i="38"/>
  <c r="Z45" i="38"/>
  <c r="Y45" i="38"/>
  <c r="X45" i="38"/>
  <c r="EE44" i="38"/>
  <c r="ED44" i="38"/>
  <c r="EC44" i="38"/>
  <c r="EB44" i="38"/>
  <c r="EA44" i="38"/>
  <c r="DZ44" i="38"/>
  <c r="DY44" i="38"/>
  <c r="DX44" i="38"/>
  <c r="DW44" i="38"/>
  <c r="DV44" i="38"/>
  <c r="DU44" i="38"/>
  <c r="DT44" i="38"/>
  <c r="DS44" i="38"/>
  <c r="DR44" i="38"/>
  <c r="DQ44" i="38"/>
  <c r="DP44" i="38"/>
  <c r="DO44" i="38"/>
  <c r="DN44" i="38"/>
  <c r="DM44" i="38"/>
  <c r="DL44" i="38"/>
  <c r="DK44" i="38"/>
  <c r="DJ44" i="38"/>
  <c r="DI44" i="38"/>
  <c r="DH44" i="38"/>
  <c r="DG44" i="38"/>
  <c r="DF44" i="38"/>
  <c r="DE44" i="38"/>
  <c r="DD44" i="38"/>
  <c r="DC44" i="38"/>
  <c r="DB44" i="38"/>
  <c r="DA44" i="38"/>
  <c r="CZ44" i="38"/>
  <c r="CY44" i="38"/>
  <c r="CX44" i="38"/>
  <c r="CW44" i="38"/>
  <c r="CV44" i="38"/>
  <c r="CU44" i="38"/>
  <c r="CT44" i="38"/>
  <c r="CS44" i="38"/>
  <c r="CR44" i="38"/>
  <c r="CQ44" i="38"/>
  <c r="CP44" i="38"/>
  <c r="CO44" i="38"/>
  <c r="CN44" i="38"/>
  <c r="CM44" i="38"/>
  <c r="CL44" i="38"/>
  <c r="CK44" i="38"/>
  <c r="CJ44" i="38"/>
  <c r="CI44" i="38"/>
  <c r="CH44" i="38"/>
  <c r="CG44" i="38"/>
  <c r="CF44" i="38"/>
  <c r="CE44" i="38"/>
  <c r="CD44" i="38"/>
  <c r="CC44" i="38"/>
  <c r="CB44" i="38"/>
  <c r="CA44" i="38"/>
  <c r="BZ44" i="38"/>
  <c r="BY44" i="38"/>
  <c r="BX44" i="38"/>
  <c r="BW44" i="38"/>
  <c r="BV44" i="38"/>
  <c r="BU44" i="38"/>
  <c r="BT44" i="38"/>
  <c r="BS44" i="38"/>
  <c r="BR44" i="38"/>
  <c r="BQ44" i="38"/>
  <c r="BP44" i="38"/>
  <c r="BO44" i="38"/>
  <c r="BN44" i="38"/>
  <c r="BM44" i="38"/>
  <c r="BL44" i="38"/>
  <c r="BK44" i="38"/>
  <c r="BJ44" i="38"/>
  <c r="BI44" i="38"/>
  <c r="BH44" i="38"/>
  <c r="BG44" i="38"/>
  <c r="BF44" i="38"/>
  <c r="BE44" i="38"/>
  <c r="BD44" i="38"/>
  <c r="BC44" i="38"/>
  <c r="BB44" i="38"/>
  <c r="BA44" i="38"/>
  <c r="AZ44" i="38"/>
  <c r="AY44" i="38"/>
  <c r="AX44" i="38"/>
  <c r="AW44" i="38"/>
  <c r="AV44" i="38"/>
  <c r="AU44" i="38"/>
  <c r="AT44" i="38"/>
  <c r="AS44" i="38"/>
  <c r="AR44" i="38"/>
  <c r="AQ44" i="38"/>
  <c r="AP44" i="38"/>
  <c r="AO44" i="38"/>
  <c r="AN44" i="38"/>
  <c r="AM44" i="38"/>
  <c r="AL44" i="38"/>
  <c r="AK44" i="38"/>
  <c r="AJ44" i="38"/>
  <c r="AI44" i="38"/>
  <c r="AH44" i="38"/>
  <c r="AG44" i="38"/>
  <c r="AF44" i="38"/>
  <c r="AE44" i="38"/>
  <c r="AD44" i="38"/>
  <c r="AC44" i="38"/>
  <c r="AB44" i="38"/>
  <c r="AA44" i="38"/>
  <c r="Z44" i="38"/>
  <c r="Y44" i="38"/>
  <c r="X44" i="38"/>
  <c r="Q44" i="38"/>
  <c r="R44" i="38" s="1"/>
  <c r="EE43" i="38"/>
  <c r="ED43" i="38"/>
  <c r="EC43" i="38"/>
  <c r="EB43" i="38"/>
  <c r="EA43" i="38"/>
  <c r="DZ43" i="38"/>
  <c r="DY43" i="38"/>
  <c r="DX43" i="38"/>
  <c r="DW43" i="38"/>
  <c r="DV43" i="38"/>
  <c r="DU43" i="38"/>
  <c r="DT43" i="38"/>
  <c r="DS43" i="38"/>
  <c r="DR43" i="38"/>
  <c r="DQ43" i="38"/>
  <c r="DP43" i="38"/>
  <c r="DO43" i="38"/>
  <c r="DN43" i="38"/>
  <c r="DM43" i="38"/>
  <c r="DL43" i="38"/>
  <c r="DK43" i="38"/>
  <c r="DJ43" i="38"/>
  <c r="DI43" i="38"/>
  <c r="DH43" i="38"/>
  <c r="DG43" i="38"/>
  <c r="DF43" i="38"/>
  <c r="DE43" i="38"/>
  <c r="DD43" i="38"/>
  <c r="DC43" i="38"/>
  <c r="DB43" i="38"/>
  <c r="DA43" i="38"/>
  <c r="CZ43" i="38"/>
  <c r="CY43" i="38"/>
  <c r="CX43" i="38"/>
  <c r="CW43" i="38"/>
  <c r="CV43" i="38"/>
  <c r="CU43" i="38"/>
  <c r="CT43" i="38"/>
  <c r="CS43" i="38"/>
  <c r="CR43" i="38"/>
  <c r="CQ43" i="38"/>
  <c r="CP43" i="38"/>
  <c r="CO43" i="38"/>
  <c r="CN43" i="38"/>
  <c r="CM43" i="38"/>
  <c r="CL43" i="38"/>
  <c r="CK43" i="38"/>
  <c r="CJ43" i="38"/>
  <c r="CI43" i="38"/>
  <c r="CH43" i="38"/>
  <c r="CG43" i="38"/>
  <c r="CF43" i="38"/>
  <c r="CE43" i="38"/>
  <c r="CD43" i="38"/>
  <c r="CC43" i="38"/>
  <c r="CB43" i="38"/>
  <c r="CA43" i="38"/>
  <c r="BZ43" i="38"/>
  <c r="BY43" i="38"/>
  <c r="BX43" i="38"/>
  <c r="BW43" i="38"/>
  <c r="BV43" i="38"/>
  <c r="BU43" i="38"/>
  <c r="BT43" i="38"/>
  <c r="BS43" i="38"/>
  <c r="BR43" i="38"/>
  <c r="BQ43" i="38"/>
  <c r="BP43" i="38"/>
  <c r="BO43" i="38"/>
  <c r="BN43" i="38"/>
  <c r="BM43" i="38"/>
  <c r="BL43" i="38"/>
  <c r="BK43" i="38"/>
  <c r="BJ43" i="38"/>
  <c r="BI43" i="38"/>
  <c r="BH43" i="38"/>
  <c r="BG43" i="38"/>
  <c r="BF43" i="38"/>
  <c r="BE43" i="38"/>
  <c r="BD43" i="38"/>
  <c r="BC43" i="38"/>
  <c r="BB43" i="38"/>
  <c r="BA43" i="38"/>
  <c r="AZ43" i="38"/>
  <c r="AY43" i="38"/>
  <c r="AX43" i="38"/>
  <c r="AW43" i="38"/>
  <c r="AV43" i="38"/>
  <c r="AU43" i="38"/>
  <c r="AT43" i="38"/>
  <c r="AS43" i="38"/>
  <c r="AR43" i="38"/>
  <c r="AQ43" i="38"/>
  <c r="AP43" i="38"/>
  <c r="AO43" i="38"/>
  <c r="AN43" i="38"/>
  <c r="AM43" i="38"/>
  <c r="AL43" i="38"/>
  <c r="AK43" i="38"/>
  <c r="AJ43" i="38"/>
  <c r="AI43" i="38"/>
  <c r="AH43" i="38"/>
  <c r="AG43" i="38"/>
  <c r="AF43" i="38"/>
  <c r="AE43" i="38"/>
  <c r="AD43" i="38"/>
  <c r="AC43" i="38"/>
  <c r="AB43" i="38"/>
  <c r="AA43" i="38"/>
  <c r="Z43" i="38"/>
  <c r="Y43" i="38"/>
  <c r="X43" i="38"/>
  <c r="Q43" i="38"/>
  <c r="EE42" i="38"/>
  <c r="ED42" i="38"/>
  <c r="EC42" i="38"/>
  <c r="EB42" i="38"/>
  <c r="EA42" i="38"/>
  <c r="DZ42" i="38"/>
  <c r="DY42" i="38"/>
  <c r="DX42" i="38"/>
  <c r="DW42" i="38"/>
  <c r="DV42" i="38"/>
  <c r="DU42" i="38"/>
  <c r="DT42" i="38"/>
  <c r="DS42" i="38"/>
  <c r="DR42" i="38"/>
  <c r="DQ42" i="38"/>
  <c r="DP42" i="38"/>
  <c r="DO42" i="38"/>
  <c r="DN42" i="38"/>
  <c r="DM42" i="38"/>
  <c r="DL42" i="38"/>
  <c r="DK42" i="38"/>
  <c r="DJ42" i="38"/>
  <c r="DI42" i="38"/>
  <c r="DH42" i="38"/>
  <c r="DG42" i="38"/>
  <c r="DF42" i="38"/>
  <c r="DE42" i="38"/>
  <c r="DD42" i="38"/>
  <c r="DC42" i="38"/>
  <c r="DB42" i="38"/>
  <c r="DA42" i="38"/>
  <c r="CZ42" i="38"/>
  <c r="CY42" i="38"/>
  <c r="CX42" i="38"/>
  <c r="CW42" i="38"/>
  <c r="CV42" i="38"/>
  <c r="CU42" i="38"/>
  <c r="CT42" i="38"/>
  <c r="CS42" i="38"/>
  <c r="CR42" i="38"/>
  <c r="CQ42" i="38"/>
  <c r="CP42" i="38"/>
  <c r="CO42" i="38"/>
  <c r="CN42" i="38"/>
  <c r="CM42" i="38"/>
  <c r="CL42" i="38"/>
  <c r="CK42" i="38"/>
  <c r="CJ42" i="38"/>
  <c r="CI42" i="38"/>
  <c r="CH42" i="38"/>
  <c r="CG42" i="38"/>
  <c r="CF42" i="38"/>
  <c r="CE42" i="38"/>
  <c r="CD42" i="38"/>
  <c r="CC42" i="38"/>
  <c r="CB42" i="38"/>
  <c r="CA42" i="38"/>
  <c r="BZ42" i="38"/>
  <c r="BY42" i="38"/>
  <c r="BX42" i="38"/>
  <c r="BW42" i="38"/>
  <c r="BV42" i="38"/>
  <c r="BU42" i="38"/>
  <c r="BT42" i="38"/>
  <c r="BS42" i="38"/>
  <c r="BR42" i="38"/>
  <c r="BQ42" i="38"/>
  <c r="BP42" i="38"/>
  <c r="BO42" i="38"/>
  <c r="BN42" i="38"/>
  <c r="BM42" i="38"/>
  <c r="BL42" i="38"/>
  <c r="BK42" i="38"/>
  <c r="BJ42" i="38"/>
  <c r="BI42" i="38"/>
  <c r="BH42" i="38"/>
  <c r="BG42" i="38"/>
  <c r="BF42" i="38"/>
  <c r="BE42" i="38"/>
  <c r="BD42" i="38"/>
  <c r="BC42" i="38"/>
  <c r="BB42" i="38"/>
  <c r="BA42" i="38"/>
  <c r="AZ42" i="38"/>
  <c r="AY42" i="38"/>
  <c r="AX42" i="38"/>
  <c r="AW42" i="38"/>
  <c r="AV42" i="38"/>
  <c r="AU42" i="38"/>
  <c r="AT42" i="38"/>
  <c r="AS42" i="38"/>
  <c r="AR42" i="38"/>
  <c r="AQ42" i="38"/>
  <c r="AP42" i="38"/>
  <c r="AO42" i="38"/>
  <c r="AN42" i="38"/>
  <c r="AM42" i="38"/>
  <c r="AL42" i="38"/>
  <c r="AK42" i="38"/>
  <c r="AJ42" i="38"/>
  <c r="AI42" i="38"/>
  <c r="AH42" i="38"/>
  <c r="AG42" i="38"/>
  <c r="AF42" i="38"/>
  <c r="AE42" i="38"/>
  <c r="AD42" i="38"/>
  <c r="AC42" i="38"/>
  <c r="AB42" i="38"/>
  <c r="AA42" i="38"/>
  <c r="Z42" i="38"/>
  <c r="Y42" i="38"/>
  <c r="X42" i="38"/>
  <c r="Q42" i="38"/>
  <c r="EE41" i="38"/>
  <c r="ED41" i="38"/>
  <c r="EC41" i="38"/>
  <c r="EB41" i="38"/>
  <c r="EA41" i="38"/>
  <c r="DZ41" i="38"/>
  <c r="DY41" i="38"/>
  <c r="DX41" i="38"/>
  <c r="DW41" i="38"/>
  <c r="DV41" i="38"/>
  <c r="DU41" i="38"/>
  <c r="DT41" i="38"/>
  <c r="DS41" i="38"/>
  <c r="DR41" i="38"/>
  <c r="DQ41" i="38"/>
  <c r="DP41" i="38"/>
  <c r="DO41" i="38"/>
  <c r="DN41" i="38"/>
  <c r="DM41" i="38"/>
  <c r="DL41" i="38"/>
  <c r="DK41" i="38"/>
  <c r="DJ41" i="38"/>
  <c r="DI41" i="38"/>
  <c r="DH41" i="38"/>
  <c r="DG41" i="38"/>
  <c r="DF41" i="38"/>
  <c r="DE41" i="38"/>
  <c r="DD41" i="38"/>
  <c r="DC41" i="38"/>
  <c r="DB41" i="38"/>
  <c r="DA41" i="38"/>
  <c r="CZ41" i="38"/>
  <c r="CY41" i="38"/>
  <c r="CX41" i="38"/>
  <c r="CW41" i="38"/>
  <c r="CV41" i="38"/>
  <c r="CU41" i="38"/>
  <c r="CT41" i="38"/>
  <c r="CS41" i="38"/>
  <c r="CR41" i="38"/>
  <c r="CQ41" i="38"/>
  <c r="CP41" i="38"/>
  <c r="CO41" i="38"/>
  <c r="CN41" i="38"/>
  <c r="CM41" i="38"/>
  <c r="CL41" i="38"/>
  <c r="CK41" i="38"/>
  <c r="CJ41" i="38"/>
  <c r="CI41" i="38"/>
  <c r="CH41" i="38"/>
  <c r="CG41" i="38"/>
  <c r="CF41" i="38"/>
  <c r="CE41" i="38"/>
  <c r="CD41" i="38"/>
  <c r="CC41" i="38"/>
  <c r="CB41" i="38"/>
  <c r="CA41" i="38"/>
  <c r="BZ41" i="38"/>
  <c r="BY41" i="38"/>
  <c r="BX41" i="38"/>
  <c r="BW41" i="38"/>
  <c r="BV41" i="38"/>
  <c r="BU41" i="38"/>
  <c r="BT41" i="38"/>
  <c r="BS41" i="38"/>
  <c r="BR41" i="38"/>
  <c r="BQ41" i="38"/>
  <c r="BP41" i="38"/>
  <c r="BO41" i="38"/>
  <c r="BN41" i="38"/>
  <c r="BM41" i="38"/>
  <c r="BL41" i="38"/>
  <c r="BK41" i="38"/>
  <c r="BJ41" i="38"/>
  <c r="BI41" i="38"/>
  <c r="BH41" i="38"/>
  <c r="BG41" i="38"/>
  <c r="BF41" i="38"/>
  <c r="BE41" i="38"/>
  <c r="BD41" i="38"/>
  <c r="BC41" i="38"/>
  <c r="BB41" i="38"/>
  <c r="BA41" i="38"/>
  <c r="AZ41" i="38"/>
  <c r="AY41" i="38"/>
  <c r="AX41" i="38"/>
  <c r="AW41" i="38"/>
  <c r="AV41" i="38"/>
  <c r="AU41" i="38"/>
  <c r="AT41" i="38"/>
  <c r="AS41" i="38"/>
  <c r="AR41" i="38"/>
  <c r="AQ41" i="38"/>
  <c r="AP41" i="38"/>
  <c r="AO41" i="38"/>
  <c r="AN41" i="38"/>
  <c r="AM41" i="38"/>
  <c r="AL41" i="38"/>
  <c r="AK41" i="38"/>
  <c r="AJ41" i="38"/>
  <c r="AI41" i="38"/>
  <c r="AH41" i="38"/>
  <c r="AG41" i="38"/>
  <c r="AF41" i="38"/>
  <c r="AE41" i="38"/>
  <c r="AD41" i="38"/>
  <c r="AC41" i="38"/>
  <c r="AB41" i="38"/>
  <c r="AA41" i="38"/>
  <c r="Z41" i="38"/>
  <c r="Y41" i="38"/>
  <c r="X41" i="38"/>
  <c r="Q41" i="38"/>
  <c r="EE40" i="38"/>
  <c r="ED40" i="38"/>
  <c r="EC40" i="38"/>
  <c r="EB40" i="38"/>
  <c r="EA40" i="38"/>
  <c r="DZ40" i="38"/>
  <c r="DY40" i="38"/>
  <c r="DX40" i="38"/>
  <c r="DW40" i="38"/>
  <c r="DV40" i="38"/>
  <c r="DU40" i="38"/>
  <c r="DT40" i="38"/>
  <c r="DS40" i="38"/>
  <c r="DR40" i="38"/>
  <c r="DQ40" i="38"/>
  <c r="DP40" i="38"/>
  <c r="DO40" i="38"/>
  <c r="DN40" i="38"/>
  <c r="DM40" i="38"/>
  <c r="DL40" i="38"/>
  <c r="DK40" i="38"/>
  <c r="DJ40" i="38"/>
  <c r="DI40" i="38"/>
  <c r="DH40" i="38"/>
  <c r="DG40" i="38"/>
  <c r="DF40" i="38"/>
  <c r="DE40" i="38"/>
  <c r="DD40" i="38"/>
  <c r="DC40" i="38"/>
  <c r="DB40" i="38"/>
  <c r="DA40" i="38"/>
  <c r="CZ40" i="38"/>
  <c r="CY40" i="38"/>
  <c r="CX40" i="38"/>
  <c r="CW40" i="38"/>
  <c r="CV40" i="38"/>
  <c r="CU40" i="38"/>
  <c r="CT40" i="38"/>
  <c r="CS40" i="38"/>
  <c r="CR40" i="38"/>
  <c r="CQ40" i="38"/>
  <c r="CP40" i="38"/>
  <c r="CO40" i="38"/>
  <c r="CN40" i="38"/>
  <c r="CM40" i="38"/>
  <c r="CL40" i="38"/>
  <c r="CK40" i="38"/>
  <c r="CJ40" i="38"/>
  <c r="CI40" i="38"/>
  <c r="CH40" i="38"/>
  <c r="CG40" i="38"/>
  <c r="CF40" i="38"/>
  <c r="CE40" i="38"/>
  <c r="CD40" i="38"/>
  <c r="CC40" i="38"/>
  <c r="CB40" i="38"/>
  <c r="CA40" i="38"/>
  <c r="BZ40" i="38"/>
  <c r="BY40" i="38"/>
  <c r="BX40" i="38"/>
  <c r="BW40" i="38"/>
  <c r="BV40" i="38"/>
  <c r="BU40" i="38"/>
  <c r="BT40" i="38"/>
  <c r="BS40" i="38"/>
  <c r="BR40" i="38"/>
  <c r="BQ40" i="38"/>
  <c r="BP40" i="38"/>
  <c r="BO40" i="38"/>
  <c r="BN40" i="38"/>
  <c r="BM40" i="38"/>
  <c r="BL40" i="38"/>
  <c r="BK40" i="38"/>
  <c r="BJ40" i="38"/>
  <c r="BI40" i="38"/>
  <c r="BH40" i="38"/>
  <c r="BG40" i="38"/>
  <c r="BF40" i="38"/>
  <c r="BE40" i="38"/>
  <c r="BD40" i="38"/>
  <c r="BC40" i="38"/>
  <c r="BB40" i="38"/>
  <c r="BA40" i="38"/>
  <c r="AZ40" i="38"/>
  <c r="AY40" i="38"/>
  <c r="AX40" i="38"/>
  <c r="AW40" i="38"/>
  <c r="AV40" i="38"/>
  <c r="AU40" i="38"/>
  <c r="AT40" i="38"/>
  <c r="AS40" i="38"/>
  <c r="AR40" i="38"/>
  <c r="AQ40" i="38"/>
  <c r="AP40" i="38"/>
  <c r="AO40" i="38"/>
  <c r="AN40" i="38"/>
  <c r="AM40" i="38"/>
  <c r="AL40" i="38"/>
  <c r="AK40" i="38"/>
  <c r="AJ40" i="38"/>
  <c r="AI40" i="38"/>
  <c r="AH40" i="38"/>
  <c r="AG40" i="38"/>
  <c r="AF40" i="38"/>
  <c r="AE40" i="38"/>
  <c r="AD40" i="38"/>
  <c r="AC40" i="38"/>
  <c r="AB40" i="38"/>
  <c r="AA40" i="38"/>
  <c r="Z40" i="38"/>
  <c r="Y40" i="38"/>
  <c r="X40" i="38"/>
  <c r="Q40" i="38"/>
  <c r="R40" i="38" s="1"/>
  <c r="EE39" i="38"/>
  <c r="ED39" i="38"/>
  <c r="EC39" i="38"/>
  <c r="EB39" i="38"/>
  <c r="EA39" i="38"/>
  <c r="DZ39" i="38"/>
  <c r="DY39" i="38"/>
  <c r="DX39" i="38"/>
  <c r="DW39" i="38"/>
  <c r="DV39" i="38"/>
  <c r="DU39" i="38"/>
  <c r="DT39" i="38"/>
  <c r="DS39" i="38"/>
  <c r="DR39" i="38"/>
  <c r="DQ39" i="38"/>
  <c r="DP39" i="38"/>
  <c r="DO39" i="38"/>
  <c r="DN39" i="38"/>
  <c r="DM39" i="38"/>
  <c r="DL39" i="38"/>
  <c r="DK39" i="38"/>
  <c r="DJ39" i="38"/>
  <c r="DI39" i="38"/>
  <c r="DH39" i="38"/>
  <c r="DG39" i="38"/>
  <c r="DF39" i="38"/>
  <c r="DE39" i="38"/>
  <c r="DD39" i="38"/>
  <c r="DC39" i="38"/>
  <c r="DB39" i="38"/>
  <c r="DA39" i="38"/>
  <c r="CZ39" i="38"/>
  <c r="CY39" i="38"/>
  <c r="CX39" i="38"/>
  <c r="CW39" i="38"/>
  <c r="CV39" i="38"/>
  <c r="CU39" i="38"/>
  <c r="CT39" i="38"/>
  <c r="CS39" i="38"/>
  <c r="CR39" i="38"/>
  <c r="CQ39" i="38"/>
  <c r="CP39" i="38"/>
  <c r="CO39" i="38"/>
  <c r="CN39" i="38"/>
  <c r="CM39" i="38"/>
  <c r="CL39" i="38"/>
  <c r="CK39" i="38"/>
  <c r="CJ39" i="38"/>
  <c r="CI39" i="38"/>
  <c r="CH39" i="38"/>
  <c r="CG39" i="38"/>
  <c r="CF39" i="38"/>
  <c r="CE39" i="38"/>
  <c r="CD39" i="38"/>
  <c r="CC39" i="38"/>
  <c r="CB39" i="38"/>
  <c r="CA39" i="38"/>
  <c r="BZ39" i="38"/>
  <c r="BY39" i="38"/>
  <c r="BX39" i="38"/>
  <c r="BW39" i="38"/>
  <c r="BV39" i="38"/>
  <c r="BU39" i="38"/>
  <c r="BT39" i="38"/>
  <c r="BS39" i="38"/>
  <c r="BR39" i="38"/>
  <c r="BQ39" i="38"/>
  <c r="BP39" i="38"/>
  <c r="BO39" i="38"/>
  <c r="BN39" i="38"/>
  <c r="BM39" i="38"/>
  <c r="BL39" i="38"/>
  <c r="BK39" i="38"/>
  <c r="BJ39" i="38"/>
  <c r="BI39" i="38"/>
  <c r="BH39" i="38"/>
  <c r="BG39" i="38"/>
  <c r="BF39" i="38"/>
  <c r="BE39" i="38"/>
  <c r="BD39" i="38"/>
  <c r="BC39" i="38"/>
  <c r="BB39" i="38"/>
  <c r="BA39" i="38"/>
  <c r="AZ39" i="38"/>
  <c r="AY39" i="38"/>
  <c r="AX39" i="38"/>
  <c r="AW39" i="38"/>
  <c r="AV39" i="38"/>
  <c r="AU39" i="38"/>
  <c r="AT39" i="38"/>
  <c r="AS39" i="38"/>
  <c r="AR39" i="38"/>
  <c r="AQ39" i="38"/>
  <c r="AP39" i="38"/>
  <c r="AO39" i="38"/>
  <c r="AN39" i="38"/>
  <c r="AM39" i="38"/>
  <c r="AL39" i="38"/>
  <c r="AK39" i="38"/>
  <c r="AJ39" i="38"/>
  <c r="AI39" i="38"/>
  <c r="AH39" i="38"/>
  <c r="AG39" i="38"/>
  <c r="AF39" i="38"/>
  <c r="AE39" i="38"/>
  <c r="AD39" i="38"/>
  <c r="AC39" i="38"/>
  <c r="AB39" i="38"/>
  <c r="AA39" i="38"/>
  <c r="Z39" i="38"/>
  <c r="Y39" i="38"/>
  <c r="X39" i="38"/>
  <c r="Q39" i="38"/>
  <c r="EE38" i="38"/>
  <c r="ED38" i="38"/>
  <c r="EC38" i="38"/>
  <c r="EB38" i="38"/>
  <c r="EA38" i="38"/>
  <c r="DZ38" i="38"/>
  <c r="DY38" i="38"/>
  <c r="DX38" i="38"/>
  <c r="DW38" i="38"/>
  <c r="DV38" i="38"/>
  <c r="DU38" i="38"/>
  <c r="DT38" i="38"/>
  <c r="DS38" i="38"/>
  <c r="DR38" i="38"/>
  <c r="DQ38" i="38"/>
  <c r="DP38" i="38"/>
  <c r="DO38" i="38"/>
  <c r="DN38" i="38"/>
  <c r="DM38" i="38"/>
  <c r="DL38" i="38"/>
  <c r="DK38" i="38"/>
  <c r="DJ38" i="38"/>
  <c r="DI38" i="38"/>
  <c r="DH38" i="38"/>
  <c r="DG38" i="38"/>
  <c r="DF38" i="38"/>
  <c r="DE38" i="38"/>
  <c r="DD38" i="38"/>
  <c r="DC38" i="38"/>
  <c r="DB38" i="38"/>
  <c r="DA38" i="38"/>
  <c r="CZ38" i="38"/>
  <c r="CY38" i="38"/>
  <c r="CX38" i="38"/>
  <c r="CW38" i="38"/>
  <c r="CV38" i="38"/>
  <c r="CU38" i="38"/>
  <c r="CT38" i="38"/>
  <c r="CS38" i="38"/>
  <c r="CR38" i="38"/>
  <c r="CQ38" i="38"/>
  <c r="CP38" i="38"/>
  <c r="CO38" i="38"/>
  <c r="CN38" i="38"/>
  <c r="CM38" i="38"/>
  <c r="CL38" i="38"/>
  <c r="CK38" i="38"/>
  <c r="CJ38" i="38"/>
  <c r="CI38" i="38"/>
  <c r="CH38" i="38"/>
  <c r="CG38" i="38"/>
  <c r="CF38" i="38"/>
  <c r="CE38" i="38"/>
  <c r="CD38" i="38"/>
  <c r="CC38" i="38"/>
  <c r="CB38" i="38"/>
  <c r="CA38" i="38"/>
  <c r="BZ38" i="38"/>
  <c r="BY38" i="38"/>
  <c r="BX38" i="38"/>
  <c r="BW38" i="38"/>
  <c r="BV38" i="38"/>
  <c r="BU38" i="38"/>
  <c r="BT38" i="38"/>
  <c r="BS38" i="38"/>
  <c r="BR38" i="38"/>
  <c r="BQ38" i="38"/>
  <c r="BP38" i="38"/>
  <c r="BO38" i="38"/>
  <c r="BN38" i="38"/>
  <c r="BM38" i="38"/>
  <c r="BL38" i="38"/>
  <c r="BK38" i="38"/>
  <c r="BJ38" i="38"/>
  <c r="BI38" i="38"/>
  <c r="BH38" i="38"/>
  <c r="BG38" i="38"/>
  <c r="BF38" i="38"/>
  <c r="BE38" i="38"/>
  <c r="BD38" i="38"/>
  <c r="BC38" i="38"/>
  <c r="BB38" i="38"/>
  <c r="BA38" i="38"/>
  <c r="AZ38" i="38"/>
  <c r="AY38" i="38"/>
  <c r="AX38" i="38"/>
  <c r="AW38" i="38"/>
  <c r="AV38" i="38"/>
  <c r="AU38" i="38"/>
  <c r="AT38" i="38"/>
  <c r="AS38" i="38"/>
  <c r="AR38" i="38"/>
  <c r="AQ38" i="38"/>
  <c r="AP38" i="38"/>
  <c r="AO38" i="38"/>
  <c r="AN38" i="38"/>
  <c r="AM38" i="38"/>
  <c r="AL38" i="38"/>
  <c r="AK38" i="38"/>
  <c r="AJ38" i="38"/>
  <c r="AI38" i="38"/>
  <c r="AH38" i="38"/>
  <c r="AG38" i="38"/>
  <c r="AF38" i="38"/>
  <c r="AE38" i="38"/>
  <c r="AD38" i="38"/>
  <c r="AC38" i="38"/>
  <c r="AB38" i="38"/>
  <c r="AA38" i="38"/>
  <c r="Z38" i="38"/>
  <c r="Y38" i="38"/>
  <c r="X38" i="38"/>
  <c r="Q38" i="38"/>
  <c r="R38" i="38" s="1"/>
  <c r="S38" i="38" s="1"/>
  <c r="EE37" i="38"/>
  <c r="ED37" i="38"/>
  <c r="EC37" i="38"/>
  <c r="EB37" i="38"/>
  <c r="EA37" i="38"/>
  <c r="DZ37" i="38"/>
  <c r="DY37" i="38"/>
  <c r="DX37" i="38"/>
  <c r="DW37" i="38"/>
  <c r="DV37" i="38"/>
  <c r="DU37" i="38"/>
  <c r="DT37" i="38"/>
  <c r="DS37" i="38"/>
  <c r="DR37" i="38"/>
  <c r="DQ37" i="38"/>
  <c r="DP37" i="38"/>
  <c r="DO37" i="38"/>
  <c r="DN37" i="38"/>
  <c r="DM37" i="38"/>
  <c r="DL37" i="38"/>
  <c r="DK37" i="38"/>
  <c r="DJ37" i="38"/>
  <c r="DI37" i="38"/>
  <c r="DH37" i="38"/>
  <c r="DG37" i="38"/>
  <c r="DF37" i="38"/>
  <c r="DE37" i="38"/>
  <c r="DD37" i="38"/>
  <c r="DC37" i="38"/>
  <c r="DB37" i="38"/>
  <c r="DA37" i="38"/>
  <c r="CZ37" i="38"/>
  <c r="CY37" i="38"/>
  <c r="CX37" i="38"/>
  <c r="CW37" i="38"/>
  <c r="CV37" i="38"/>
  <c r="CU37" i="38"/>
  <c r="CT37" i="38"/>
  <c r="CS37" i="38"/>
  <c r="CR37" i="38"/>
  <c r="CQ37" i="38"/>
  <c r="CP37" i="38"/>
  <c r="CO37" i="38"/>
  <c r="CN37" i="38"/>
  <c r="CM37" i="38"/>
  <c r="CL37" i="38"/>
  <c r="CK37" i="38"/>
  <c r="CJ37" i="38"/>
  <c r="CI37" i="38"/>
  <c r="CH37" i="38"/>
  <c r="CG37" i="38"/>
  <c r="CF37" i="38"/>
  <c r="CE37" i="38"/>
  <c r="CD37" i="38"/>
  <c r="CC37" i="38"/>
  <c r="CB37" i="38"/>
  <c r="CA37" i="38"/>
  <c r="BZ37" i="38"/>
  <c r="BY37" i="38"/>
  <c r="BX37" i="38"/>
  <c r="BW37" i="38"/>
  <c r="BV37" i="38"/>
  <c r="BU37" i="38"/>
  <c r="BT37" i="38"/>
  <c r="BS37" i="38"/>
  <c r="BR37" i="38"/>
  <c r="BQ37" i="38"/>
  <c r="BP37" i="38"/>
  <c r="BO37" i="38"/>
  <c r="BN37" i="38"/>
  <c r="BM37" i="38"/>
  <c r="BL37" i="38"/>
  <c r="BK37" i="38"/>
  <c r="BJ37" i="38"/>
  <c r="BI37" i="38"/>
  <c r="BH37" i="38"/>
  <c r="BG37" i="38"/>
  <c r="BF37" i="38"/>
  <c r="BE37" i="38"/>
  <c r="BD37" i="38"/>
  <c r="BC37" i="38"/>
  <c r="BB37" i="38"/>
  <c r="BA37" i="38"/>
  <c r="AZ37" i="38"/>
  <c r="AY37" i="38"/>
  <c r="AX37" i="38"/>
  <c r="AW37" i="38"/>
  <c r="AV37" i="38"/>
  <c r="AU37" i="38"/>
  <c r="AT37" i="38"/>
  <c r="AS37" i="38"/>
  <c r="AR37" i="38"/>
  <c r="AQ37" i="38"/>
  <c r="AP37" i="38"/>
  <c r="AO37" i="38"/>
  <c r="AN37" i="38"/>
  <c r="AM37" i="38"/>
  <c r="AL37" i="38"/>
  <c r="AK37" i="38"/>
  <c r="AJ37" i="38"/>
  <c r="AI37" i="38"/>
  <c r="AH37" i="38"/>
  <c r="AG37" i="38"/>
  <c r="AF37" i="38"/>
  <c r="AE37" i="38"/>
  <c r="AD37" i="38"/>
  <c r="AC37" i="38"/>
  <c r="AB37" i="38"/>
  <c r="AA37" i="38"/>
  <c r="Z37" i="38"/>
  <c r="Y37" i="38"/>
  <c r="X37" i="38"/>
  <c r="Q37" i="38"/>
  <c r="EE36" i="38"/>
  <c r="ED36" i="38"/>
  <c r="EC36" i="38"/>
  <c r="EB36" i="38"/>
  <c r="EA36" i="38"/>
  <c r="DZ36" i="38"/>
  <c r="DY36" i="38"/>
  <c r="DX36" i="38"/>
  <c r="DW36" i="38"/>
  <c r="DV36" i="38"/>
  <c r="DU36" i="38"/>
  <c r="DT36" i="38"/>
  <c r="DS36" i="38"/>
  <c r="DR36" i="38"/>
  <c r="DQ36" i="38"/>
  <c r="DP36" i="38"/>
  <c r="DO36" i="38"/>
  <c r="DN36" i="38"/>
  <c r="DM36" i="38"/>
  <c r="DL36" i="38"/>
  <c r="DK36" i="38"/>
  <c r="DJ36" i="38"/>
  <c r="DI36" i="38"/>
  <c r="DH36" i="38"/>
  <c r="DG36" i="38"/>
  <c r="DF36" i="38"/>
  <c r="DE36" i="38"/>
  <c r="DD36" i="38"/>
  <c r="DC36" i="38"/>
  <c r="DB36" i="38"/>
  <c r="DA36" i="38"/>
  <c r="CZ36" i="38"/>
  <c r="CY36" i="38"/>
  <c r="CX36" i="38"/>
  <c r="CW36" i="38"/>
  <c r="CV36" i="38"/>
  <c r="CU36" i="38"/>
  <c r="CT36" i="38"/>
  <c r="CS36" i="38"/>
  <c r="CR36" i="38"/>
  <c r="CQ36" i="38"/>
  <c r="CP36" i="38"/>
  <c r="CO36" i="38"/>
  <c r="CN36" i="38"/>
  <c r="CM36" i="38"/>
  <c r="CL36" i="38"/>
  <c r="CK36" i="38"/>
  <c r="CJ36" i="38"/>
  <c r="CI36" i="38"/>
  <c r="CH36" i="38"/>
  <c r="CG36" i="38"/>
  <c r="CF36" i="38"/>
  <c r="CE36" i="38"/>
  <c r="CD36" i="38"/>
  <c r="CC36" i="38"/>
  <c r="CB36" i="38"/>
  <c r="CA36" i="38"/>
  <c r="BZ36" i="38"/>
  <c r="BY36" i="38"/>
  <c r="BX36" i="38"/>
  <c r="BW36" i="38"/>
  <c r="BV36" i="38"/>
  <c r="BU36" i="38"/>
  <c r="BT36" i="38"/>
  <c r="BS36" i="38"/>
  <c r="BR36" i="38"/>
  <c r="BQ36" i="38"/>
  <c r="BP36" i="38"/>
  <c r="BO36" i="38"/>
  <c r="BN36" i="38"/>
  <c r="BM36" i="38"/>
  <c r="BL36" i="38"/>
  <c r="BK36" i="38"/>
  <c r="BJ36" i="38"/>
  <c r="BI36" i="38"/>
  <c r="BH36" i="38"/>
  <c r="BG36" i="38"/>
  <c r="BF36" i="38"/>
  <c r="BE36" i="38"/>
  <c r="BD36" i="38"/>
  <c r="BC36" i="38"/>
  <c r="BB36" i="38"/>
  <c r="BA36" i="38"/>
  <c r="AZ36" i="38"/>
  <c r="AY36" i="38"/>
  <c r="AX36" i="38"/>
  <c r="AW36" i="38"/>
  <c r="AV36" i="38"/>
  <c r="AU36" i="38"/>
  <c r="AT36" i="38"/>
  <c r="AS36" i="38"/>
  <c r="AR36" i="38"/>
  <c r="AQ36" i="38"/>
  <c r="AP36" i="38"/>
  <c r="AO36" i="38"/>
  <c r="AN36" i="38"/>
  <c r="AM36" i="38"/>
  <c r="AL36" i="38"/>
  <c r="AK36" i="38"/>
  <c r="AJ36" i="38"/>
  <c r="AI36" i="38"/>
  <c r="AH36" i="38"/>
  <c r="AG36" i="38"/>
  <c r="AF36" i="38"/>
  <c r="AE36" i="38"/>
  <c r="AD36" i="38"/>
  <c r="AC36" i="38"/>
  <c r="AB36" i="38"/>
  <c r="AA36" i="38"/>
  <c r="Z36" i="38"/>
  <c r="Y36" i="38"/>
  <c r="X36" i="38"/>
  <c r="EE35" i="38"/>
  <c r="ED35" i="38"/>
  <c r="EC35" i="38"/>
  <c r="EB35" i="38"/>
  <c r="EA35" i="38"/>
  <c r="DZ35" i="38"/>
  <c r="DY35" i="38"/>
  <c r="DX35" i="38"/>
  <c r="DW35" i="38"/>
  <c r="DV35" i="38"/>
  <c r="DU35" i="38"/>
  <c r="DT35" i="38"/>
  <c r="DS35" i="38"/>
  <c r="DR35" i="38"/>
  <c r="DQ35" i="38"/>
  <c r="DP35" i="38"/>
  <c r="DO35" i="38"/>
  <c r="DN35" i="38"/>
  <c r="DM35" i="38"/>
  <c r="DL35" i="38"/>
  <c r="DK35" i="38"/>
  <c r="DJ35" i="38"/>
  <c r="DI35" i="38"/>
  <c r="DH35" i="38"/>
  <c r="DG35" i="38"/>
  <c r="DF35" i="38"/>
  <c r="DE35" i="38"/>
  <c r="DD35" i="38"/>
  <c r="DC35" i="38"/>
  <c r="DB35" i="38"/>
  <c r="DA35" i="38"/>
  <c r="CZ35" i="38"/>
  <c r="CY35" i="38"/>
  <c r="CX35" i="38"/>
  <c r="CW35" i="38"/>
  <c r="CV35" i="38"/>
  <c r="CU35" i="38"/>
  <c r="CT35" i="38"/>
  <c r="CS35" i="38"/>
  <c r="CR35" i="38"/>
  <c r="CQ35" i="38"/>
  <c r="CP35" i="38"/>
  <c r="CO35" i="38"/>
  <c r="CN35" i="38"/>
  <c r="CM35" i="38"/>
  <c r="CL35" i="38"/>
  <c r="CK35" i="38"/>
  <c r="CJ35" i="38"/>
  <c r="CI35" i="38"/>
  <c r="CH35" i="38"/>
  <c r="CG35" i="38"/>
  <c r="CF35" i="38"/>
  <c r="CE35" i="38"/>
  <c r="CD35" i="38"/>
  <c r="CC35" i="38"/>
  <c r="CB35" i="38"/>
  <c r="CA35" i="38"/>
  <c r="BZ35" i="38"/>
  <c r="BY35" i="38"/>
  <c r="BX35" i="38"/>
  <c r="BW35" i="38"/>
  <c r="BV35" i="38"/>
  <c r="BU35" i="38"/>
  <c r="BT35" i="38"/>
  <c r="BS35" i="38"/>
  <c r="BR35" i="38"/>
  <c r="BQ35" i="38"/>
  <c r="BP35" i="38"/>
  <c r="BO35" i="38"/>
  <c r="BN35" i="38"/>
  <c r="BM35" i="38"/>
  <c r="BL35" i="38"/>
  <c r="BK35" i="38"/>
  <c r="BJ35" i="38"/>
  <c r="BI35" i="38"/>
  <c r="BH35" i="38"/>
  <c r="BG35" i="38"/>
  <c r="BF35" i="38"/>
  <c r="BE35" i="38"/>
  <c r="BD35" i="38"/>
  <c r="BC35" i="38"/>
  <c r="BB35" i="38"/>
  <c r="BA35" i="38"/>
  <c r="AZ35" i="38"/>
  <c r="AY35" i="38"/>
  <c r="AX35" i="38"/>
  <c r="AW35" i="38"/>
  <c r="AV35" i="38"/>
  <c r="AU35" i="38"/>
  <c r="AT35" i="38"/>
  <c r="AS35" i="38"/>
  <c r="AR35" i="38"/>
  <c r="AQ35" i="38"/>
  <c r="AP35" i="38"/>
  <c r="AO35" i="38"/>
  <c r="AN35" i="38"/>
  <c r="AM35" i="38"/>
  <c r="AL35" i="38"/>
  <c r="AK35" i="38"/>
  <c r="AJ35" i="38"/>
  <c r="AI35" i="38"/>
  <c r="AH35" i="38"/>
  <c r="AG35" i="38"/>
  <c r="AF35" i="38"/>
  <c r="AE35" i="38"/>
  <c r="AD35" i="38"/>
  <c r="AC35" i="38"/>
  <c r="AB35" i="38"/>
  <c r="AA35" i="38"/>
  <c r="Z35" i="38"/>
  <c r="Y35" i="38"/>
  <c r="X35" i="38"/>
  <c r="Q35" i="38"/>
  <c r="EE34" i="38"/>
  <c r="ED34" i="38"/>
  <c r="EC34" i="38"/>
  <c r="EB34" i="38"/>
  <c r="EA34" i="38"/>
  <c r="DZ34" i="38"/>
  <c r="DY34" i="38"/>
  <c r="DX34" i="38"/>
  <c r="DW34" i="38"/>
  <c r="DV34" i="38"/>
  <c r="DU34" i="38"/>
  <c r="DT34" i="38"/>
  <c r="DS34" i="38"/>
  <c r="DR34" i="38"/>
  <c r="DQ34" i="38"/>
  <c r="DP34" i="38"/>
  <c r="DO34" i="38"/>
  <c r="DN34" i="38"/>
  <c r="DM34" i="38"/>
  <c r="DL34" i="38"/>
  <c r="DK34" i="38"/>
  <c r="DJ34" i="38"/>
  <c r="DI34" i="38"/>
  <c r="DH34" i="38"/>
  <c r="DG34" i="38"/>
  <c r="DF34" i="38"/>
  <c r="DE34" i="38"/>
  <c r="DD34" i="38"/>
  <c r="DC34" i="38"/>
  <c r="DB34" i="38"/>
  <c r="DA34" i="38"/>
  <c r="CZ34" i="38"/>
  <c r="CY34" i="38"/>
  <c r="CX34" i="38"/>
  <c r="CW34" i="38"/>
  <c r="CV34" i="38"/>
  <c r="CU34" i="38"/>
  <c r="CT34" i="38"/>
  <c r="CS34" i="38"/>
  <c r="CR34" i="38"/>
  <c r="CQ34" i="38"/>
  <c r="CP34" i="38"/>
  <c r="CO34" i="38"/>
  <c r="CN34" i="38"/>
  <c r="CM34" i="38"/>
  <c r="CL34" i="38"/>
  <c r="CK34" i="38"/>
  <c r="CJ34" i="38"/>
  <c r="CI34" i="38"/>
  <c r="CH34" i="38"/>
  <c r="CG34" i="38"/>
  <c r="CF34" i="38"/>
  <c r="CE34" i="38"/>
  <c r="CD34" i="38"/>
  <c r="CC34" i="38"/>
  <c r="CB34" i="38"/>
  <c r="CA34" i="38"/>
  <c r="BZ34" i="38"/>
  <c r="BY34" i="38"/>
  <c r="BX34" i="38"/>
  <c r="BW34" i="38"/>
  <c r="BV34" i="38"/>
  <c r="BU34" i="38"/>
  <c r="BT34" i="38"/>
  <c r="BS34" i="38"/>
  <c r="BR34" i="38"/>
  <c r="BQ34" i="38"/>
  <c r="BP34" i="38"/>
  <c r="BO34" i="38"/>
  <c r="BN34" i="38"/>
  <c r="BM34" i="38"/>
  <c r="BL34" i="38"/>
  <c r="BK34" i="38"/>
  <c r="BJ34" i="38"/>
  <c r="BI34" i="38"/>
  <c r="BH34" i="38"/>
  <c r="BG34" i="38"/>
  <c r="BF34" i="38"/>
  <c r="BE34" i="38"/>
  <c r="BD34" i="38"/>
  <c r="BC34" i="38"/>
  <c r="BB34" i="38"/>
  <c r="BA34" i="38"/>
  <c r="AZ34" i="38"/>
  <c r="AY34" i="38"/>
  <c r="AX34" i="38"/>
  <c r="AW34" i="38"/>
  <c r="AV34" i="38"/>
  <c r="AU34" i="38"/>
  <c r="AT34" i="38"/>
  <c r="AS34" i="38"/>
  <c r="AR34" i="38"/>
  <c r="AQ34" i="38"/>
  <c r="AP34" i="38"/>
  <c r="AO34" i="38"/>
  <c r="AN34" i="38"/>
  <c r="AM34" i="38"/>
  <c r="AL34" i="38"/>
  <c r="AK34" i="38"/>
  <c r="AJ34" i="38"/>
  <c r="AI34" i="38"/>
  <c r="AH34" i="38"/>
  <c r="AG34" i="38"/>
  <c r="AF34" i="38"/>
  <c r="AE34" i="38"/>
  <c r="AD34" i="38"/>
  <c r="AC34" i="38"/>
  <c r="AB34" i="38"/>
  <c r="AA34" i="38"/>
  <c r="Z34" i="38"/>
  <c r="Y34" i="38"/>
  <c r="X34" i="38"/>
  <c r="Q34" i="38"/>
  <c r="EE33" i="38"/>
  <c r="ED33" i="38"/>
  <c r="EC33" i="38"/>
  <c r="EB33" i="38"/>
  <c r="EA33" i="38"/>
  <c r="DZ33" i="38"/>
  <c r="DY33" i="38"/>
  <c r="DX33" i="38"/>
  <c r="DW33" i="38"/>
  <c r="DV33" i="38"/>
  <c r="DU33" i="38"/>
  <c r="DT33" i="38"/>
  <c r="DS33" i="38"/>
  <c r="DR33" i="38"/>
  <c r="DQ33" i="38"/>
  <c r="DP33" i="38"/>
  <c r="DO33" i="38"/>
  <c r="DN33" i="38"/>
  <c r="DM33" i="38"/>
  <c r="DL33" i="38"/>
  <c r="DK33" i="38"/>
  <c r="DJ33" i="38"/>
  <c r="DI33" i="38"/>
  <c r="DH33" i="38"/>
  <c r="DG33" i="38"/>
  <c r="DF33" i="38"/>
  <c r="DE33" i="38"/>
  <c r="DD33" i="38"/>
  <c r="DC33" i="38"/>
  <c r="DB33" i="38"/>
  <c r="DA33" i="38"/>
  <c r="CZ33" i="38"/>
  <c r="CY33" i="38"/>
  <c r="CX33" i="38"/>
  <c r="CW33" i="38"/>
  <c r="CV33" i="38"/>
  <c r="CU33" i="38"/>
  <c r="CT33" i="38"/>
  <c r="CS33" i="38"/>
  <c r="CR33" i="38"/>
  <c r="CQ33" i="38"/>
  <c r="CP33" i="38"/>
  <c r="CO33" i="38"/>
  <c r="CN33" i="38"/>
  <c r="CM33" i="38"/>
  <c r="CL33" i="38"/>
  <c r="CK33" i="38"/>
  <c r="CJ33" i="38"/>
  <c r="CI33" i="38"/>
  <c r="CH33" i="38"/>
  <c r="CG33" i="38"/>
  <c r="CF33" i="38"/>
  <c r="CE33" i="38"/>
  <c r="CD33" i="38"/>
  <c r="CC33" i="38"/>
  <c r="CB33" i="38"/>
  <c r="CA33" i="38"/>
  <c r="BZ33" i="38"/>
  <c r="BY33" i="38"/>
  <c r="BX33" i="38"/>
  <c r="BW33" i="38"/>
  <c r="BV33" i="38"/>
  <c r="BU33" i="38"/>
  <c r="BT33" i="38"/>
  <c r="BS33" i="38"/>
  <c r="BR33" i="38"/>
  <c r="BQ33" i="38"/>
  <c r="BP33" i="38"/>
  <c r="BO33" i="38"/>
  <c r="BN33" i="38"/>
  <c r="BM33" i="38"/>
  <c r="BL33" i="38"/>
  <c r="BK33" i="38"/>
  <c r="BJ33" i="38"/>
  <c r="BI33" i="38"/>
  <c r="BH33" i="38"/>
  <c r="BG33" i="38"/>
  <c r="BF33" i="38"/>
  <c r="BE33" i="38"/>
  <c r="BD33" i="38"/>
  <c r="BC33" i="38"/>
  <c r="BB33" i="38"/>
  <c r="BA33" i="38"/>
  <c r="AZ33" i="38"/>
  <c r="AY33" i="38"/>
  <c r="AX33" i="38"/>
  <c r="AW33" i="38"/>
  <c r="AV33" i="38"/>
  <c r="AU33" i="38"/>
  <c r="AT33" i="38"/>
  <c r="AS33" i="38"/>
  <c r="AR33" i="38"/>
  <c r="AQ33" i="38"/>
  <c r="AP33" i="38"/>
  <c r="AO33" i="38"/>
  <c r="AN33" i="38"/>
  <c r="AM33" i="38"/>
  <c r="AL33" i="38"/>
  <c r="AK33" i="38"/>
  <c r="AJ33" i="38"/>
  <c r="AI33" i="38"/>
  <c r="AH33" i="38"/>
  <c r="AG33" i="38"/>
  <c r="AF33" i="38"/>
  <c r="AE33" i="38"/>
  <c r="AD33" i="38"/>
  <c r="AC33" i="38"/>
  <c r="AB33" i="38"/>
  <c r="AA33" i="38"/>
  <c r="Z33" i="38"/>
  <c r="Y33" i="38"/>
  <c r="X33" i="38"/>
  <c r="Q33" i="38"/>
  <c r="EE32" i="38"/>
  <c r="ED32" i="38"/>
  <c r="EC32" i="38"/>
  <c r="EB32" i="38"/>
  <c r="EA32" i="38"/>
  <c r="DZ32" i="38"/>
  <c r="DY32" i="38"/>
  <c r="DX32" i="38"/>
  <c r="DW32" i="38"/>
  <c r="DV32" i="38"/>
  <c r="DU32" i="38"/>
  <c r="DT32" i="38"/>
  <c r="DS32" i="38"/>
  <c r="DR32" i="38"/>
  <c r="DQ32" i="38"/>
  <c r="DP32" i="38"/>
  <c r="DO32" i="38"/>
  <c r="DN32" i="38"/>
  <c r="DM32" i="38"/>
  <c r="DL32" i="38"/>
  <c r="DK32" i="38"/>
  <c r="DJ32" i="38"/>
  <c r="DI32" i="38"/>
  <c r="DH32" i="38"/>
  <c r="DG32" i="38"/>
  <c r="DF32" i="38"/>
  <c r="DE32" i="38"/>
  <c r="DD32" i="38"/>
  <c r="DC32" i="38"/>
  <c r="DB32" i="38"/>
  <c r="DA32" i="38"/>
  <c r="CZ32" i="38"/>
  <c r="CY32" i="38"/>
  <c r="CX32" i="38"/>
  <c r="CW32" i="38"/>
  <c r="CV32" i="38"/>
  <c r="CU32" i="38"/>
  <c r="CT32" i="38"/>
  <c r="CS32" i="38"/>
  <c r="CR32" i="38"/>
  <c r="CQ32" i="38"/>
  <c r="CP32" i="38"/>
  <c r="CO32" i="38"/>
  <c r="CN32" i="38"/>
  <c r="CM32" i="38"/>
  <c r="CL32" i="38"/>
  <c r="CK32" i="38"/>
  <c r="CJ32" i="38"/>
  <c r="CI32" i="38"/>
  <c r="CH32" i="38"/>
  <c r="CG32" i="38"/>
  <c r="CF32" i="38"/>
  <c r="CE32" i="38"/>
  <c r="CD32" i="38"/>
  <c r="CC32" i="38"/>
  <c r="CB32" i="38"/>
  <c r="CA32" i="38"/>
  <c r="BZ32" i="38"/>
  <c r="BY32" i="38"/>
  <c r="BX32" i="38"/>
  <c r="BW32" i="38"/>
  <c r="BV32" i="38"/>
  <c r="BU32" i="38"/>
  <c r="BT32" i="38"/>
  <c r="BS32" i="38"/>
  <c r="BR32" i="38"/>
  <c r="BQ32" i="38"/>
  <c r="BP32" i="38"/>
  <c r="BO32" i="38"/>
  <c r="BN32" i="38"/>
  <c r="BM32" i="38"/>
  <c r="BL32" i="38"/>
  <c r="BK32" i="38"/>
  <c r="BJ32" i="38"/>
  <c r="BI32" i="38"/>
  <c r="BH32" i="38"/>
  <c r="BG32" i="38"/>
  <c r="BF32" i="38"/>
  <c r="BE32" i="38"/>
  <c r="BD32" i="38"/>
  <c r="BC32" i="38"/>
  <c r="BB32" i="38"/>
  <c r="BA32" i="38"/>
  <c r="AZ32" i="38"/>
  <c r="AY32" i="38"/>
  <c r="AX32" i="38"/>
  <c r="AW32" i="38"/>
  <c r="AV32" i="38"/>
  <c r="AU32" i="38"/>
  <c r="AT32" i="38"/>
  <c r="AS32" i="38"/>
  <c r="AR32" i="38"/>
  <c r="AQ32" i="38"/>
  <c r="AP32" i="38"/>
  <c r="AO32" i="38"/>
  <c r="AN32" i="38"/>
  <c r="AM32" i="38"/>
  <c r="AL32" i="38"/>
  <c r="AK32" i="38"/>
  <c r="AJ32" i="38"/>
  <c r="AI32" i="38"/>
  <c r="AH32" i="38"/>
  <c r="AG32" i="38"/>
  <c r="AF32" i="38"/>
  <c r="AE32" i="38"/>
  <c r="AD32" i="38"/>
  <c r="AC32" i="38"/>
  <c r="AB32" i="38"/>
  <c r="AA32" i="38"/>
  <c r="Z32" i="38"/>
  <c r="Y32" i="38"/>
  <c r="X32" i="38"/>
  <c r="EE31" i="38"/>
  <c r="ED31" i="38"/>
  <c r="EC31" i="38"/>
  <c r="EB31" i="38"/>
  <c r="EA31" i="38"/>
  <c r="DZ31" i="38"/>
  <c r="DY31" i="38"/>
  <c r="DX31" i="38"/>
  <c r="DW31" i="38"/>
  <c r="DV31" i="38"/>
  <c r="DU31" i="38"/>
  <c r="DT31" i="38"/>
  <c r="DS31" i="38"/>
  <c r="DR31" i="38"/>
  <c r="DQ31" i="38"/>
  <c r="DP31" i="38"/>
  <c r="DO31" i="38"/>
  <c r="DN31" i="38"/>
  <c r="DM31" i="38"/>
  <c r="DL31" i="38"/>
  <c r="DK31" i="38"/>
  <c r="DJ31" i="38"/>
  <c r="DI31" i="38"/>
  <c r="DH31" i="38"/>
  <c r="DG31" i="38"/>
  <c r="DF31" i="38"/>
  <c r="DE31" i="38"/>
  <c r="DD31" i="38"/>
  <c r="DC31" i="38"/>
  <c r="DB31" i="38"/>
  <c r="DA31" i="38"/>
  <c r="CZ31" i="38"/>
  <c r="CY31" i="38"/>
  <c r="CX31" i="38"/>
  <c r="CW31" i="38"/>
  <c r="CV31" i="38"/>
  <c r="CU31" i="38"/>
  <c r="CT31" i="38"/>
  <c r="CS31" i="38"/>
  <c r="CR31" i="38"/>
  <c r="CQ31" i="38"/>
  <c r="CP31" i="38"/>
  <c r="CO31" i="38"/>
  <c r="CN31" i="38"/>
  <c r="CM31" i="38"/>
  <c r="CL31" i="38"/>
  <c r="CK31" i="38"/>
  <c r="CJ31" i="38"/>
  <c r="CI31" i="38"/>
  <c r="CH31" i="38"/>
  <c r="CG31" i="38"/>
  <c r="CF31" i="38"/>
  <c r="CE31" i="38"/>
  <c r="CD31" i="38"/>
  <c r="CC31" i="38"/>
  <c r="CB31" i="38"/>
  <c r="CA31" i="38"/>
  <c r="BZ31" i="38"/>
  <c r="BY31" i="38"/>
  <c r="BX31" i="38"/>
  <c r="BW31" i="38"/>
  <c r="BV31" i="38"/>
  <c r="BU31" i="38"/>
  <c r="BT31" i="38"/>
  <c r="BS31" i="38"/>
  <c r="BR31" i="38"/>
  <c r="BQ31" i="38"/>
  <c r="BP31" i="38"/>
  <c r="BO31" i="38"/>
  <c r="BN31" i="38"/>
  <c r="BM31" i="38"/>
  <c r="BL31" i="38"/>
  <c r="BK31" i="38"/>
  <c r="BJ31" i="38"/>
  <c r="BI31" i="38"/>
  <c r="BH31" i="38"/>
  <c r="BG31" i="38"/>
  <c r="BF31" i="38"/>
  <c r="BE31" i="38"/>
  <c r="BD31" i="38"/>
  <c r="BC31" i="38"/>
  <c r="BB31" i="38"/>
  <c r="BA31" i="38"/>
  <c r="AZ31" i="38"/>
  <c r="AY31" i="38"/>
  <c r="AX31" i="38"/>
  <c r="AW31" i="38"/>
  <c r="AV31" i="38"/>
  <c r="AU31" i="38"/>
  <c r="AT31" i="38"/>
  <c r="AS31" i="38"/>
  <c r="AR31" i="38"/>
  <c r="AQ31" i="38"/>
  <c r="AP31" i="38"/>
  <c r="AO31" i="38"/>
  <c r="AN31" i="38"/>
  <c r="AM31" i="38"/>
  <c r="AL31" i="38"/>
  <c r="AK31" i="38"/>
  <c r="AJ31" i="38"/>
  <c r="AI31" i="38"/>
  <c r="AH31" i="38"/>
  <c r="AG31" i="38"/>
  <c r="AF31" i="38"/>
  <c r="AE31" i="38"/>
  <c r="AD31" i="38"/>
  <c r="AC31" i="38"/>
  <c r="AB31" i="38"/>
  <c r="AA31" i="38"/>
  <c r="Z31" i="38"/>
  <c r="Y31" i="38"/>
  <c r="X31" i="38"/>
  <c r="EE30" i="38"/>
  <c r="ED30" i="38"/>
  <c r="EC30" i="38"/>
  <c r="EB30" i="38"/>
  <c r="EA30" i="38"/>
  <c r="DZ30" i="38"/>
  <c r="DY30" i="38"/>
  <c r="DX30" i="38"/>
  <c r="DW30" i="38"/>
  <c r="DV30" i="38"/>
  <c r="DU30" i="38"/>
  <c r="DT30" i="38"/>
  <c r="DS30" i="38"/>
  <c r="DR30" i="38"/>
  <c r="DQ30" i="38"/>
  <c r="DP30" i="38"/>
  <c r="DO30" i="38"/>
  <c r="DN30" i="38"/>
  <c r="DM30" i="38"/>
  <c r="DL30" i="38"/>
  <c r="DK30" i="38"/>
  <c r="DJ30" i="38"/>
  <c r="DI30" i="38"/>
  <c r="DH30" i="38"/>
  <c r="DG30" i="38"/>
  <c r="DF30" i="38"/>
  <c r="DE30" i="38"/>
  <c r="DD30" i="38"/>
  <c r="DC30" i="38"/>
  <c r="DB30" i="38"/>
  <c r="DA30" i="38"/>
  <c r="CZ30" i="38"/>
  <c r="CY30" i="38"/>
  <c r="CX30" i="38"/>
  <c r="CW30" i="38"/>
  <c r="CV30" i="38"/>
  <c r="CU30" i="38"/>
  <c r="CT30" i="38"/>
  <c r="CS30" i="38"/>
  <c r="CR30" i="38"/>
  <c r="CQ30" i="38"/>
  <c r="CP30" i="38"/>
  <c r="CO30" i="38"/>
  <c r="CN30" i="38"/>
  <c r="CM30" i="38"/>
  <c r="CL30" i="38"/>
  <c r="CK30" i="38"/>
  <c r="CJ30" i="38"/>
  <c r="CI30" i="38"/>
  <c r="CH30" i="38"/>
  <c r="CG30" i="38"/>
  <c r="CF30" i="38"/>
  <c r="CE30" i="38"/>
  <c r="CD30" i="38"/>
  <c r="CC30" i="38"/>
  <c r="CB30" i="38"/>
  <c r="CA30" i="38"/>
  <c r="BZ30" i="38"/>
  <c r="BY30" i="38"/>
  <c r="BX30" i="38"/>
  <c r="BW30" i="38"/>
  <c r="BV30" i="38"/>
  <c r="BU30" i="38"/>
  <c r="BT30" i="38"/>
  <c r="BS30" i="38"/>
  <c r="BR30" i="38"/>
  <c r="BQ30" i="38"/>
  <c r="BP30" i="38"/>
  <c r="BO30" i="38"/>
  <c r="BN30" i="38"/>
  <c r="BM30" i="38"/>
  <c r="BL30" i="38"/>
  <c r="BK30" i="38"/>
  <c r="BJ30" i="38"/>
  <c r="BI30" i="38"/>
  <c r="BH30" i="38"/>
  <c r="BG30" i="38"/>
  <c r="BF30" i="38"/>
  <c r="BE30" i="38"/>
  <c r="BD30" i="38"/>
  <c r="BC30" i="38"/>
  <c r="BB30" i="38"/>
  <c r="BA30" i="38"/>
  <c r="AZ30" i="38"/>
  <c r="AY30" i="38"/>
  <c r="AX30" i="38"/>
  <c r="AW30" i="38"/>
  <c r="AV30" i="38"/>
  <c r="AU30" i="38"/>
  <c r="AT30" i="38"/>
  <c r="AS30" i="38"/>
  <c r="AR30" i="38"/>
  <c r="AQ30" i="38"/>
  <c r="AP30" i="38"/>
  <c r="AO30" i="38"/>
  <c r="AN30" i="38"/>
  <c r="AM30" i="38"/>
  <c r="AL30" i="38"/>
  <c r="AK30" i="38"/>
  <c r="AJ30" i="38"/>
  <c r="AI30" i="38"/>
  <c r="AH30" i="38"/>
  <c r="AG30" i="38"/>
  <c r="AF30" i="38"/>
  <c r="AE30" i="38"/>
  <c r="AD30" i="38"/>
  <c r="AC30" i="38"/>
  <c r="AB30" i="38"/>
  <c r="AA30" i="38"/>
  <c r="Z30" i="38"/>
  <c r="Y30" i="38"/>
  <c r="X30" i="38"/>
  <c r="EE29" i="38"/>
  <c r="ED29" i="38"/>
  <c r="EC29" i="38"/>
  <c r="EB29" i="38"/>
  <c r="EA29" i="38"/>
  <c r="DZ29" i="38"/>
  <c r="DY29" i="38"/>
  <c r="DX29" i="38"/>
  <c r="DW29" i="38"/>
  <c r="DV29" i="38"/>
  <c r="DU29" i="38"/>
  <c r="DT29" i="38"/>
  <c r="DS29" i="38"/>
  <c r="DR29" i="38"/>
  <c r="DQ29" i="38"/>
  <c r="DP29" i="38"/>
  <c r="DO29" i="38"/>
  <c r="DN29" i="38"/>
  <c r="DM29" i="38"/>
  <c r="DL29" i="38"/>
  <c r="DK29" i="38"/>
  <c r="DJ29" i="38"/>
  <c r="DI29" i="38"/>
  <c r="DH29" i="38"/>
  <c r="DG29" i="38"/>
  <c r="DF29" i="38"/>
  <c r="DE29" i="38"/>
  <c r="DD29" i="38"/>
  <c r="DC29" i="38"/>
  <c r="DB29" i="38"/>
  <c r="DA29" i="38"/>
  <c r="CZ29" i="38"/>
  <c r="CY29" i="38"/>
  <c r="CX29" i="38"/>
  <c r="CW29" i="38"/>
  <c r="CV29" i="38"/>
  <c r="CU29" i="38"/>
  <c r="CT29" i="38"/>
  <c r="CS29" i="38"/>
  <c r="CR29" i="38"/>
  <c r="CQ29" i="38"/>
  <c r="CP29" i="38"/>
  <c r="CO29" i="38"/>
  <c r="CN29" i="38"/>
  <c r="CM29" i="38"/>
  <c r="CL29" i="38"/>
  <c r="CK29" i="38"/>
  <c r="CJ29" i="38"/>
  <c r="CI29" i="38"/>
  <c r="CH29" i="38"/>
  <c r="CG29" i="38"/>
  <c r="CF29" i="38"/>
  <c r="CE29" i="38"/>
  <c r="CD29" i="38"/>
  <c r="CC29" i="38"/>
  <c r="CB29" i="38"/>
  <c r="CA29" i="38"/>
  <c r="BZ29" i="38"/>
  <c r="BY29" i="38"/>
  <c r="BX29" i="38"/>
  <c r="BW29" i="38"/>
  <c r="BV29" i="38"/>
  <c r="BU29" i="38"/>
  <c r="BT29" i="38"/>
  <c r="BS29" i="38"/>
  <c r="BR29" i="38"/>
  <c r="BQ29" i="38"/>
  <c r="BP29" i="38"/>
  <c r="BO29" i="38"/>
  <c r="BN29" i="38"/>
  <c r="BM29" i="38"/>
  <c r="BL29" i="38"/>
  <c r="BK29" i="38"/>
  <c r="BJ29" i="38"/>
  <c r="BI29" i="38"/>
  <c r="BH29" i="38"/>
  <c r="BG29" i="38"/>
  <c r="BF29" i="38"/>
  <c r="BE29" i="38"/>
  <c r="BD29" i="38"/>
  <c r="BC29" i="38"/>
  <c r="BB29" i="38"/>
  <c r="BA29" i="38"/>
  <c r="AZ29" i="38"/>
  <c r="AY29" i="38"/>
  <c r="AX29" i="38"/>
  <c r="AW29" i="38"/>
  <c r="AV29" i="38"/>
  <c r="AU29" i="38"/>
  <c r="AT29" i="38"/>
  <c r="AS29" i="38"/>
  <c r="AR29" i="38"/>
  <c r="AQ29" i="38"/>
  <c r="AP29" i="38"/>
  <c r="AO29" i="38"/>
  <c r="AN29" i="38"/>
  <c r="AM29" i="38"/>
  <c r="AL29" i="38"/>
  <c r="AK29" i="38"/>
  <c r="AJ29" i="38"/>
  <c r="AI29" i="38"/>
  <c r="AH29" i="38"/>
  <c r="AG29" i="38"/>
  <c r="AF29" i="38"/>
  <c r="AE29" i="38"/>
  <c r="AD29" i="38"/>
  <c r="AC29" i="38"/>
  <c r="AB29" i="38"/>
  <c r="AA29" i="38"/>
  <c r="Z29" i="38"/>
  <c r="Y29" i="38"/>
  <c r="X29" i="38"/>
  <c r="Q29" i="38"/>
  <c r="EE28" i="38"/>
  <c r="ED28" i="38"/>
  <c r="EC28" i="38"/>
  <c r="EB28" i="38"/>
  <c r="EA28" i="38"/>
  <c r="DZ28" i="38"/>
  <c r="DY28" i="38"/>
  <c r="DX28" i="38"/>
  <c r="DW28" i="38"/>
  <c r="DV28" i="38"/>
  <c r="DU28" i="38"/>
  <c r="DT28" i="38"/>
  <c r="DS28" i="38"/>
  <c r="DR28" i="38"/>
  <c r="DQ28" i="38"/>
  <c r="DP28" i="38"/>
  <c r="DO28" i="38"/>
  <c r="DN28" i="38"/>
  <c r="DM28" i="38"/>
  <c r="DL28" i="38"/>
  <c r="DK28" i="38"/>
  <c r="DJ28" i="38"/>
  <c r="DI28" i="38"/>
  <c r="DH28" i="38"/>
  <c r="DG28" i="38"/>
  <c r="DF28" i="38"/>
  <c r="DE28" i="38"/>
  <c r="DD28" i="38"/>
  <c r="DC28" i="38"/>
  <c r="DB28" i="38"/>
  <c r="DA28" i="38"/>
  <c r="CZ28" i="38"/>
  <c r="CY28" i="38"/>
  <c r="CX28" i="38"/>
  <c r="CW28" i="38"/>
  <c r="CV28" i="38"/>
  <c r="CU28" i="38"/>
  <c r="CT28" i="38"/>
  <c r="CS28" i="38"/>
  <c r="CR28" i="38"/>
  <c r="CQ28" i="38"/>
  <c r="CP28" i="38"/>
  <c r="CO28" i="38"/>
  <c r="CN28" i="38"/>
  <c r="CM28" i="38"/>
  <c r="CL28" i="38"/>
  <c r="CK28" i="38"/>
  <c r="CJ28" i="38"/>
  <c r="CI28" i="38"/>
  <c r="CH28" i="38"/>
  <c r="CG28" i="38"/>
  <c r="CF28" i="38"/>
  <c r="CE28" i="38"/>
  <c r="CD28" i="38"/>
  <c r="CC28" i="38"/>
  <c r="CB28" i="38"/>
  <c r="CA28" i="38"/>
  <c r="BZ28" i="38"/>
  <c r="BY28" i="38"/>
  <c r="BX28" i="38"/>
  <c r="BW28" i="38"/>
  <c r="BV28" i="38"/>
  <c r="BU28" i="38"/>
  <c r="BT28" i="38"/>
  <c r="BS28" i="38"/>
  <c r="BR28" i="38"/>
  <c r="BQ28" i="38"/>
  <c r="BP28" i="38"/>
  <c r="BO28" i="38"/>
  <c r="BN28" i="38"/>
  <c r="BM28" i="38"/>
  <c r="BL28" i="38"/>
  <c r="BK28" i="38"/>
  <c r="BJ28" i="38"/>
  <c r="BI28" i="38"/>
  <c r="BH28" i="38"/>
  <c r="BG28" i="38"/>
  <c r="BF28" i="38"/>
  <c r="BE28" i="38"/>
  <c r="BD28" i="38"/>
  <c r="BC28" i="38"/>
  <c r="BB28" i="38"/>
  <c r="BA28" i="38"/>
  <c r="AZ28" i="38"/>
  <c r="AY28" i="38"/>
  <c r="AX28" i="38"/>
  <c r="AW28" i="38"/>
  <c r="AV28" i="38"/>
  <c r="AU28" i="38"/>
  <c r="AT28" i="38"/>
  <c r="AS28" i="38"/>
  <c r="AR28" i="38"/>
  <c r="AQ28" i="38"/>
  <c r="AP28" i="38"/>
  <c r="AO28" i="38"/>
  <c r="AN28" i="38"/>
  <c r="AM28" i="38"/>
  <c r="AL28" i="38"/>
  <c r="AK28" i="38"/>
  <c r="AJ28" i="38"/>
  <c r="AI28" i="38"/>
  <c r="AH28" i="38"/>
  <c r="AG28" i="38"/>
  <c r="AF28" i="38"/>
  <c r="AE28" i="38"/>
  <c r="AD28" i="38"/>
  <c r="AC28" i="38"/>
  <c r="AB28" i="38"/>
  <c r="AA28" i="38"/>
  <c r="Z28" i="38"/>
  <c r="Y28" i="38"/>
  <c r="X28" i="38"/>
  <c r="Q28" i="38"/>
  <c r="EE26" i="38"/>
  <c r="ED26" i="38"/>
  <c r="EC26" i="38"/>
  <c r="EB26" i="38"/>
  <c r="EA26" i="38"/>
  <c r="DZ26" i="38"/>
  <c r="DY26" i="38"/>
  <c r="DX26" i="38"/>
  <c r="DW26" i="38"/>
  <c r="DV26" i="38"/>
  <c r="DU26" i="38"/>
  <c r="DT26" i="38"/>
  <c r="DS26" i="38"/>
  <c r="DR26" i="38"/>
  <c r="DQ26" i="38"/>
  <c r="DP26" i="38"/>
  <c r="DO26" i="38"/>
  <c r="DN26" i="38"/>
  <c r="DM26" i="38"/>
  <c r="DL26" i="38"/>
  <c r="DK26" i="38"/>
  <c r="DJ26" i="38"/>
  <c r="DI26" i="38"/>
  <c r="DH26" i="38"/>
  <c r="DG26" i="38"/>
  <c r="DF26" i="38"/>
  <c r="DE26" i="38"/>
  <c r="DD26" i="38"/>
  <c r="DC26" i="38"/>
  <c r="DB26" i="38"/>
  <c r="DA26" i="38"/>
  <c r="CZ26" i="38"/>
  <c r="CY26" i="38"/>
  <c r="CX26" i="38"/>
  <c r="CW26" i="38"/>
  <c r="CV26" i="38"/>
  <c r="CU26" i="38"/>
  <c r="CT26" i="38"/>
  <c r="CS26" i="38"/>
  <c r="CR26" i="38"/>
  <c r="CQ26" i="38"/>
  <c r="CP26" i="38"/>
  <c r="CO26" i="38"/>
  <c r="CN26" i="38"/>
  <c r="CM26" i="38"/>
  <c r="CL26" i="38"/>
  <c r="CK26" i="38"/>
  <c r="CJ26" i="38"/>
  <c r="CI26" i="38"/>
  <c r="CH26" i="38"/>
  <c r="CG26" i="38"/>
  <c r="CF26" i="38"/>
  <c r="CE26" i="38"/>
  <c r="CD26" i="38"/>
  <c r="CC26" i="38"/>
  <c r="CB26" i="38"/>
  <c r="CA26" i="38"/>
  <c r="BZ26" i="38"/>
  <c r="BY26" i="38"/>
  <c r="BX26" i="38"/>
  <c r="BW26" i="38"/>
  <c r="BV26" i="38"/>
  <c r="BU26" i="38"/>
  <c r="BT26" i="38"/>
  <c r="BS26" i="38"/>
  <c r="BR26" i="38"/>
  <c r="BQ26" i="38"/>
  <c r="BP26" i="38"/>
  <c r="BO26" i="38"/>
  <c r="BN26" i="38"/>
  <c r="BM26" i="38"/>
  <c r="BL26" i="38"/>
  <c r="BK26" i="38"/>
  <c r="BJ26" i="38"/>
  <c r="BI26" i="38"/>
  <c r="BH26" i="38"/>
  <c r="BG26" i="38"/>
  <c r="BF26" i="38"/>
  <c r="BE26" i="38"/>
  <c r="BD26" i="38"/>
  <c r="BC26" i="38"/>
  <c r="BB26" i="38"/>
  <c r="BA26" i="38"/>
  <c r="AZ26" i="38"/>
  <c r="AY26" i="38"/>
  <c r="AX26" i="38"/>
  <c r="AW26" i="38"/>
  <c r="AV26" i="38"/>
  <c r="AU26" i="38"/>
  <c r="AT26" i="38"/>
  <c r="AS26" i="38"/>
  <c r="AR26" i="38"/>
  <c r="AQ26" i="38"/>
  <c r="AP26" i="38"/>
  <c r="AO26" i="38"/>
  <c r="AN26" i="38"/>
  <c r="AM26" i="38"/>
  <c r="AL26" i="38"/>
  <c r="AK26" i="38"/>
  <c r="AJ26" i="38"/>
  <c r="AI26" i="38"/>
  <c r="AH26" i="38"/>
  <c r="AG26" i="38"/>
  <c r="AF26" i="38"/>
  <c r="AE26" i="38"/>
  <c r="AD26" i="38"/>
  <c r="AC26" i="38"/>
  <c r="AB26" i="38"/>
  <c r="AA26" i="38"/>
  <c r="Z26" i="38"/>
  <c r="Y26" i="38"/>
  <c r="X26" i="38"/>
  <c r="Q26" i="38"/>
  <c r="EE25" i="38"/>
  <c r="ED25" i="38"/>
  <c r="EC25" i="38"/>
  <c r="EB25" i="38"/>
  <c r="EA25" i="38"/>
  <c r="DZ25" i="38"/>
  <c r="DY25" i="38"/>
  <c r="DX25" i="38"/>
  <c r="DW25" i="38"/>
  <c r="DV25" i="38"/>
  <c r="DU25" i="38"/>
  <c r="DT25" i="38"/>
  <c r="DS25" i="38"/>
  <c r="DR25" i="38"/>
  <c r="DQ25" i="38"/>
  <c r="DP25" i="38"/>
  <c r="DO25" i="38"/>
  <c r="DN25" i="38"/>
  <c r="DM25" i="38"/>
  <c r="DL25" i="38"/>
  <c r="DK25" i="38"/>
  <c r="DJ25" i="38"/>
  <c r="DI25" i="38"/>
  <c r="DH25" i="38"/>
  <c r="DG25" i="38"/>
  <c r="DF25" i="38"/>
  <c r="DE25" i="38"/>
  <c r="DD25" i="38"/>
  <c r="DC25" i="38"/>
  <c r="DB25" i="38"/>
  <c r="DA25" i="38"/>
  <c r="CZ25" i="38"/>
  <c r="CY25" i="38"/>
  <c r="CX25" i="38"/>
  <c r="CW25" i="38"/>
  <c r="CV25" i="38"/>
  <c r="CU25" i="38"/>
  <c r="CT25" i="38"/>
  <c r="CS25" i="38"/>
  <c r="CR25" i="38"/>
  <c r="CQ25" i="38"/>
  <c r="CP25" i="38"/>
  <c r="CO25" i="38"/>
  <c r="CN25" i="38"/>
  <c r="CM25" i="38"/>
  <c r="CL25" i="38"/>
  <c r="CK25" i="38"/>
  <c r="CJ25" i="38"/>
  <c r="CI25" i="38"/>
  <c r="CH25" i="38"/>
  <c r="CG25" i="38"/>
  <c r="CF25" i="38"/>
  <c r="CE25" i="38"/>
  <c r="CD25" i="38"/>
  <c r="CC25" i="38"/>
  <c r="CB25" i="38"/>
  <c r="CA25" i="38"/>
  <c r="BZ25" i="38"/>
  <c r="BY25" i="38"/>
  <c r="BX25" i="38"/>
  <c r="BW25" i="38"/>
  <c r="BV25" i="38"/>
  <c r="BU25" i="38"/>
  <c r="BT25" i="38"/>
  <c r="BS25" i="38"/>
  <c r="BR25" i="38"/>
  <c r="BQ25" i="38"/>
  <c r="BP25" i="38"/>
  <c r="BO25" i="38"/>
  <c r="BN25" i="38"/>
  <c r="BM25" i="38"/>
  <c r="BL25" i="38"/>
  <c r="BK25" i="38"/>
  <c r="BJ25" i="38"/>
  <c r="BI25" i="38"/>
  <c r="BH25" i="38"/>
  <c r="BG25" i="38"/>
  <c r="BF25" i="38"/>
  <c r="BE25" i="38"/>
  <c r="BD25" i="38"/>
  <c r="BC25" i="38"/>
  <c r="BB25" i="38"/>
  <c r="BA25" i="38"/>
  <c r="AZ25" i="38"/>
  <c r="AY25" i="38"/>
  <c r="AX25" i="38"/>
  <c r="AW25" i="38"/>
  <c r="AV25" i="38"/>
  <c r="AU25" i="38"/>
  <c r="AT25" i="38"/>
  <c r="AS25" i="38"/>
  <c r="AR25" i="38"/>
  <c r="AQ25" i="38"/>
  <c r="AP25" i="38"/>
  <c r="AO25" i="38"/>
  <c r="AN25" i="38"/>
  <c r="AM25" i="38"/>
  <c r="AL25" i="38"/>
  <c r="AK25" i="38"/>
  <c r="AJ25" i="38"/>
  <c r="AI25" i="38"/>
  <c r="AH25" i="38"/>
  <c r="AG25" i="38"/>
  <c r="AF25" i="38"/>
  <c r="AE25" i="38"/>
  <c r="AD25" i="38"/>
  <c r="AC25" i="38"/>
  <c r="AB25" i="38"/>
  <c r="AA25" i="38"/>
  <c r="Z25" i="38"/>
  <c r="Y25" i="38"/>
  <c r="X25" i="38"/>
  <c r="Q25" i="38"/>
  <c r="EE24" i="38"/>
  <c r="ED24" i="38"/>
  <c r="EC24" i="38"/>
  <c r="EB24" i="38"/>
  <c r="EA24" i="38"/>
  <c r="DZ24" i="38"/>
  <c r="DY24" i="38"/>
  <c r="DX24" i="38"/>
  <c r="DW24" i="38"/>
  <c r="DV24" i="38"/>
  <c r="DU24" i="38"/>
  <c r="DT24" i="38"/>
  <c r="DS24" i="38"/>
  <c r="DR24" i="38"/>
  <c r="DQ24" i="38"/>
  <c r="DP24" i="38"/>
  <c r="DO24" i="38"/>
  <c r="DN24" i="38"/>
  <c r="DM24" i="38"/>
  <c r="DL24" i="38"/>
  <c r="DK24" i="38"/>
  <c r="DJ24" i="38"/>
  <c r="DI24" i="38"/>
  <c r="DH24" i="38"/>
  <c r="DG24" i="38"/>
  <c r="DF24" i="38"/>
  <c r="DE24" i="38"/>
  <c r="DD24" i="38"/>
  <c r="DC24" i="38"/>
  <c r="DB24" i="38"/>
  <c r="DA24" i="38"/>
  <c r="CZ24" i="38"/>
  <c r="CY24" i="38"/>
  <c r="CX24" i="38"/>
  <c r="CW24" i="38"/>
  <c r="CV24" i="38"/>
  <c r="CU24" i="38"/>
  <c r="CT24" i="38"/>
  <c r="CS24" i="38"/>
  <c r="CR24" i="38"/>
  <c r="CQ24" i="38"/>
  <c r="CP24" i="38"/>
  <c r="CO24" i="38"/>
  <c r="CN24" i="38"/>
  <c r="CM24" i="38"/>
  <c r="CL24" i="38"/>
  <c r="CK24" i="38"/>
  <c r="CJ24" i="38"/>
  <c r="CI24" i="38"/>
  <c r="CH24" i="38"/>
  <c r="CG24" i="38"/>
  <c r="CF24" i="38"/>
  <c r="CE24" i="38"/>
  <c r="CD24" i="38"/>
  <c r="CC24" i="38"/>
  <c r="CB24" i="38"/>
  <c r="CA24" i="38"/>
  <c r="BZ24" i="38"/>
  <c r="BY24" i="38"/>
  <c r="BX24" i="38"/>
  <c r="BW24" i="38"/>
  <c r="BV24" i="38"/>
  <c r="BU24" i="38"/>
  <c r="BT24" i="38"/>
  <c r="BS24" i="38"/>
  <c r="BR24" i="38"/>
  <c r="BQ24" i="38"/>
  <c r="BP24" i="38"/>
  <c r="BO24" i="38"/>
  <c r="BN24" i="38"/>
  <c r="BM24" i="38"/>
  <c r="BL24" i="38"/>
  <c r="BK24" i="38"/>
  <c r="BJ24" i="38"/>
  <c r="BI24" i="38"/>
  <c r="BH24" i="38"/>
  <c r="BG24" i="38"/>
  <c r="BF24" i="38"/>
  <c r="BE24" i="38"/>
  <c r="BD24" i="38"/>
  <c r="BC24" i="38"/>
  <c r="BB24" i="38"/>
  <c r="BA24" i="38"/>
  <c r="AZ24" i="38"/>
  <c r="AY24" i="38"/>
  <c r="AX24" i="38"/>
  <c r="AW24" i="38"/>
  <c r="AV24" i="38"/>
  <c r="AU24" i="38"/>
  <c r="AT24" i="38"/>
  <c r="AS24" i="38"/>
  <c r="AR24" i="38"/>
  <c r="AQ24" i="38"/>
  <c r="AP24" i="38"/>
  <c r="AO24" i="38"/>
  <c r="AN24" i="38"/>
  <c r="AM24" i="38"/>
  <c r="AL24" i="38"/>
  <c r="AK24" i="38"/>
  <c r="AJ24" i="38"/>
  <c r="AI24" i="38"/>
  <c r="AH24" i="38"/>
  <c r="AG24" i="38"/>
  <c r="AF24" i="38"/>
  <c r="AE24" i="38"/>
  <c r="AD24" i="38"/>
  <c r="AC24" i="38"/>
  <c r="AB24" i="38"/>
  <c r="AA24" i="38"/>
  <c r="Z24" i="38"/>
  <c r="Y24" i="38"/>
  <c r="X24" i="38"/>
  <c r="EE17" i="38"/>
  <c r="ED17" i="38"/>
  <c r="EC17" i="38"/>
  <c r="EB17" i="38"/>
  <c r="EA17" i="38"/>
  <c r="DZ17" i="38"/>
  <c r="DY17" i="38"/>
  <c r="DX17" i="38"/>
  <c r="DW17" i="38"/>
  <c r="DV17" i="38"/>
  <c r="DU17" i="38"/>
  <c r="DT17" i="38"/>
  <c r="DS17" i="38"/>
  <c r="DR17" i="38"/>
  <c r="DQ17" i="38"/>
  <c r="DP17" i="38"/>
  <c r="DO17" i="38"/>
  <c r="DN17" i="38"/>
  <c r="DM17" i="38"/>
  <c r="DL17" i="38"/>
  <c r="DK17" i="38"/>
  <c r="DJ17" i="38"/>
  <c r="DI17" i="38"/>
  <c r="DH17" i="38"/>
  <c r="DG17" i="38"/>
  <c r="DF17" i="38"/>
  <c r="DE17" i="38"/>
  <c r="DD17" i="38"/>
  <c r="DC17" i="38"/>
  <c r="DB17" i="38"/>
  <c r="DA17" i="38"/>
  <c r="CZ17" i="38"/>
  <c r="CY17" i="38"/>
  <c r="CX17" i="38"/>
  <c r="CW17" i="38"/>
  <c r="CV17" i="38"/>
  <c r="CU17" i="38"/>
  <c r="CT17" i="38"/>
  <c r="CS17" i="38"/>
  <c r="CR17" i="38"/>
  <c r="CQ17" i="38"/>
  <c r="CP17" i="38"/>
  <c r="CO17" i="38"/>
  <c r="CN17" i="38"/>
  <c r="CM17" i="38"/>
  <c r="CL17" i="38"/>
  <c r="CK17" i="38"/>
  <c r="CJ17" i="38"/>
  <c r="CI17" i="38"/>
  <c r="CH17" i="38"/>
  <c r="CG17" i="38"/>
  <c r="CF17" i="38"/>
  <c r="CE17" i="38"/>
  <c r="CD17" i="38"/>
  <c r="CC17" i="38"/>
  <c r="CB17" i="38"/>
  <c r="CA17" i="38"/>
  <c r="BZ17" i="38"/>
  <c r="BY17" i="38"/>
  <c r="BX17" i="38"/>
  <c r="BW17" i="38"/>
  <c r="BV17" i="38"/>
  <c r="BU17" i="38"/>
  <c r="BT17" i="38"/>
  <c r="BS17" i="38"/>
  <c r="BR17" i="38"/>
  <c r="BQ17" i="38"/>
  <c r="BP17" i="38"/>
  <c r="BO17" i="38"/>
  <c r="BN17" i="38"/>
  <c r="BM17" i="38"/>
  <c r="BL17" i="38"/>
  <c r="BK17" i="38"/>
  <c r="BJ17" i="38"/>
  <c r="BI17" i="38"/>
  <c r="BH17" i="38"/>
  <c r="BG17" i="38"/>
  <c r="BF17" i="38"/>
  <c r="BE17" i="38"/>
  <c r="BD17" i="38"/>
  <c r="BC17" i="38"/>
  <c r="BB17" i="38"/>
  <c r="BA17" i="38"/>
  <c r="AZ17" i="38"/>
  <c r="AY17" i="38"/>
  <c r="AX17" i="38"/>
  <c r="AW17" i="38"/>
  <c r="AV17" i="38"/>
  <c r="AU17" i="38"/>
  <c r="AT17" i="38"/>
  <c r="AS17" i="38"/>
  <c r="AR17" i="38"/>
  <c r="AQ17" i="38"/>
  <c r="AP17" i="38"/>
  <c r="AO17" i="38"/>
  <c r="AN17" i="38"/>
  <c r="AM17" i="38"/>
  <c r="AL17" i="38"/>
  <c r="AK17" i="38"/>
  <c r="AJ17" i="38"/>
  <c r="AI17" i="38"/>
  <c r="AH17" i="38"/>
  <c r="AG17" i="38"/>
  <c r="AF17" i="38"/>
  <c r="AE17" i="38"/>
  <c r="AD17" i="38"/>
  <c r="AC17" i="38"/>
  <c r="AB17" i="38"/>
  <c r="AA17" i="38"/>
  <c r="Z17" i="38"/>
  <c r="Y17" i="38"/>
  <c r="X17" i="38"/>
  <c r="EE16" i="38"/>
  <c r="ED16" i="38"/>
  <c r="EC16" i="38"/>
  <c r="EB16" i="38"/>
  <c r="EA16" i="38"/>
  <c r="DZ16" i="38"/>
  <c r="DY16" i="38"/>
  <c r="DX16" i="38"/>
  <c r="DW16" i="38"/>
  <c r="DV16" i="38"/>
  <c r="DU16" i="38"/>
  <c r="DT16" i="38"/>
  <c r="DS16" i="38"/>
  <c r="DR16" i="38"/>
  <c r="DQ16" i="38"/>
  <c r="DP16" i="38"/>
  <c r="DO16" i="38"/>
  <c r="DN16" i="38"/>
  <c r="DM16" i="38"/>
  <c r="DL16" i="38"/>
  <c r="DK16" i="38"/>
  <c r="DJ16" i="38"/>
  <c r="DI16" i="38"/>
  <c r="DH16" i="38"/>
  <c r="DG16" i="38"/>
  <c r="DF16" i="38"/>
  <c r="DE16" i="38"/>
  <c r="DD16" i="38"/>
  <c r="DC16" i="38"/>
  <c r="DB16" i="38"/>
  <c r="DA16" i="38"/>
  <c r="CZ16" i="38"/>
  <c r="CY16" i="38"/>
  <c r="CX16" i="38"/>
  <c r="CW16" i="38"/>
  <c r="CV16" i="38"/>
  <c r="CU16" i="38"/>
  <c r="CT16" i="38"/>
  <c r="CS16" i="38"/>
  <c r="CR16" i="38"/>
  <c r="CQ16" i="38"/>
  <c r="CP16" i="38"/>
  <c r="CO16" i="38"/>
  <c r="CN16" i="38"/>
  <c r="CM16" i="38"/>
  <c r="CL16" i="38"/>
  <c r="CK16" i="38"/>
  <c r="CJ16" i="38"/>
  <c r="CI16" i="38"/>
  <c r="CH16" i="38"/>
  <c r="CG16" i="38"/>
  <c r="CF16" i="38"/>
  <c r="CE16" i="38"/>
  <c r="CD16" i="38"/>
  <c r="CC16" i="38"/>
  <c r="CB16" i="38"/>
  <c r="CA16" i="38"/>
  <c r="BZ16" i="38"/>
  <c r="BY16" i="38"/>
  <c r="BX16" i="38"/>
  <c r="BW16" i="38"/>
  <c r="BV16" i="38"/>
  <c r="BU16" i="38"/>
  <c r="BT16" i="38"/>
  <c r="BS16" i="38"/>
  <c r="BR16" i="38"/>
  <c r="BQ16" i="38"/>
  <c r="BP16" i="38"/>
  <c r="BO16" i="38"/>
  <c r="BN16" i="38"/>
  <c r="BM16" i="38"/>
  <c r="BL16" i="38"/>
  <c r="BK16" i="38"/>
  <c r="BJ16" i="38"/>
  <c r="BI16" i="38"/>
  <c r="BH16" i="38"/>
  <c r="BG16" i="38"/>
  <c r="BF16" i="38"/>
  <c r="BE16" i="38"/>
  <c r="BD16" i="38"/>
  <c r="BC16" i="38"/>
  <c r="BB16" i="38"/>
  <c r="BA16" i="38"/>
  <c r="AZ16" i="38"/>
  <c r="AY16" i="38"/>
  <c r="AX16" i="38"/>
  <c r="AW16" i="38"/>
  <c r="AV16" i="38"/>
  <c r="AU16" i="38"/>
  <c r="AT16" i="38"/>
  <c r="AS16" i="38"/>
  <c r="AR16" i="38"/>
  <c r="AQ16" i="38"/>
  <c r="AP16" i="38"/>
  <c r="AO16" i="38"/>
  <c r="AN16" i="38"/>
  <c r="AM16" i="38"/>
  <c r="AL16" i="38"/>
  <c r="AK16" i="38"/>
  <c r="AJ16" i="38"/>
  <c r="AI16" i="38"/>
  <c r="AH16" i="38"/>
  <c r="AG16" i="38"/>
  <c r="AF16" i="38"/>
  <c r="AE16" i="38"/>
  <c r="AD16" i="38"/>
  <c r="AC16" i="38"/>
  <c r="AB16" i="38"/>
  <c r="AA16" i="38"/>
  <c r="Z16" i="38"/>
  <c r="Y16" i="38"/>
  <c r="X16" i="38"/>
  <c r="EE15" i="38"/>
  <c r="ED15" i="38"/>
  <c r="EC15" i="38"/>
  <c r="EB15" i="38"/>
  <c r="EA15" i="38"/>
  <c r="DZ15" i="38"/>
  <c r="DY15" i="38"/>
  <c r="DX15" i="38"/>
  <c r="DW15" i="38"/>
  <c r="DV15" i="38"/>
  <c r="DU15" i="38"/>
  <c r="DT15" i="38"/>
  <c r="DS15" i="38"/>
  <c r="DR15" i="38"/>
  <c r="DQ15" i="38"/>
  <c r="DP15" i="38"/>
  <c r="DO15" i="38"/>
  <c r="DN15" i="38"/>
  <c r="DM15" i="38"/>
  <c r="DL15" i="38"/>
  <c r="DK15" i="38"/>
  <c r="DJ15" i="38"/>
  <c r="DI15" i="38"/>
  <c r="DH15" i="38"/>
  <c r="DG15" i="38"/>
  <c r="DF15" i="38"/>
  <c r="DE15" i="38"/>
  <c r="DD15" i="38"/>
  <c r="DC15" i="38"/>
  <c r="DB15" i="38"/>
  <c r="DA15" i="38"/>
  <c r="CZ15" i="38"/>
  <c r="CY15" i="38"/>
  <c r="CX15" i="38"/>
  <c r="CW15" i="38"/>
  <c r="CV15" i="38"/>
  <c r="CU15" i="38"/>
  <c r="CT15" i="38"/>
  <c r="CS15" i="38"/>
  <c r="CR15" i="38"/>
  <c r="CQ15" i="38"/>
  <c r="CP15" i="38"/>
  <c r="CO15" i="38"/>
  <c r="CN15" i="38"/>
  <c r="CM15" i="38"/>
  <c r="CL15" i="38"/>
  <c r="CK15" i="38"/>
  <c r="CJ15" i="38"/>
  <c r="CI15" i="38"/>
  <c r="CH15" i="38"/>
  <c r="CG15" i="38"/>
  <c r="CF15" i="38"/>
  <c r="CE15" i="38"/>
  <c r="CD15" i="38"/>
  <c r="CC15" i="38"/>
  <c r="CB15" i="38"/>
  <c r="CA15" i="38"/>
  <c r="BZ15" i="38"/>
  <c r="BY15" i="38"/>
  <c r="BX15" i="38"/>
  <c r="BW15" i="38"/>
  <c r="BV15" i="38"/>
  <c r="BU15" i="38"/>
  <c r="BT15" i="38"/>
  <c r="BS15" i="38"/>
  <c r="BR15" i="38"/>
  <c r="BQ15" i="38"/>
  <c r="BP15" i="38"/>
  <c r="BO15" i="38"/>
  <c r="BN15" i="38"/>
  <c r="BM15" i="38"/>
  <c r="BL15" i="38"/>
  <c r="BK15" i="38"/>
  <c r="BJ15" i="38"/>
  <c r="BI15" i="38"/>
  <c r="BH15" i="38"/>
  <c r="BG15" i="38"/>
  <c r="BF15" i="38"/>
  <c r="BE15" i="38"/>
  <c r="BD15" i="38"/>
  <c r="BC15" i="38"/>
  <c r="BB15" i="38"/>
  <c r="BA15" i="38"/>
  <c r="AZ15" i="38"/>
  <c r="AY15" i="38"/>
  <c r="AX15" i="38"/>
  <c r="AW15" i="38"/>
  <c r="AV15" i="38"/>
  <c r="AU15" i="38"/>
  <c r="AT15" i="38"/>
  <c r="AS15" i="38"/>
  <c r="AR15" i="38"/>
  <c r="AQ15" i="38"/>
  <c r="AP15" i="38"/>
  <c r="AO15" i="38"/>
  <c r="AN15" i="38"/>
  <c r="AM15" i="38"/>
  <c r="AL15" i="38"/>
  <c r="AK15" i="38"/>
  <c r="AJ15" i="38"/>
  <c r="AI15" i="38"/>
  <c r="AH15" i="38"/>
  <c r="AG15" i="38"/>
  <c r="AF15" i="38"/>
  <c r="AE15" i="38"/>
  <c r="AD15" i="38"/>
  <c r="AC15" i="38"/>
  <c r="AB15" i="38"/>
  <c r="AA15" i="38"/>
  <c r="Z15" i="38"/>
  <c r="Y15" i="38"/>
  <c r="X15" i="38"/>
  <c r="EE14" i="38"/>
  <c r="ED14" i="38"/>
  <c r="EC14" i="38"/>
  <c r="EB14" i="38"/>
  <c r="EA14" i="38"/>
  <c r="DZ14" i="38"/>
  <c r="DY14" i="38"/>
  <c r="DX14" i="38"/>
  <c r="DW14" i="38"/>
  <c r="DV14" i="38"/>
  <c r="DU14" i="38"/>
  <c r="DT14" i="38"/>
  <c r="DS14" i="38"/>
  <c r="DR14" i="38"/>
  <c r="DQ14" i="38"/>
  <c r="DP14" i="38"/>
  <c r="DO14" i="38"/>
  <c r="DN14" i="38"/>
  <c r="DM14" i="38"/>
  <c r="DL14" i="38"/>
  <c r="DK14" i="38"/>
  <c r="DJ14" i="38"/>
  <c r="DI14" i="38"/>
  <c r="DH14" i="38"/>
  <c r="DG14" i="38"/>
  <c r="DF14" i="38"/>
  <c r="DE14" i="38"/>
  <c r="DD14" i="38"/>
  <c r="DC14" i="38"/>
  <c r="DB14" i="38"/>
  <c r="DA14" i="38"/>
  <c r="CZ14" i="38"/>
  <c r="CY14" i="38"/>
  <c r="CX14" i="38"/>
  <c r="CW14" i="38"/>
  <c r="CV14" i="38"/>
  <c r="CU14" i="38"/>
  <c r="CT14" i="38"/>
  <c r="CS14" i="38"/>
  <c r="CR14" i="38"/>
  <c r="CQ14" i="38"/>
  <c r="CP14" i="38"/>
  <c r="CO14" i="38"/>
  <c r="CN14" i="38"/>
  <c r="CM14" i="38"/>
  <c r="CL14" i="38"/>
  <c r="CK14" i="38"/>
  <c r="CJ14" i="38"/>
  <c r="CI14" i="38"/>
  <c r="CH14" i="38"/>
  <c r="CG14" i="38"/>
  <c r="CF14" i="38"/>
  <c r="CE14" i="38"/>
  <c r="CD14" i="38"/>
  <c r="CC14" i="38"/>
  <c r="CB14" i="38"/>
  <c r="CA14" i="38"/>
  <c r="BZ14" i="38"/>
  <c r="BY14" i="38"/>
  <c r="BX14" i="38"/>
  <c r="BW14" i="38"/>
  <c r="BV14" i="38"/>
  <c r="BU14" i="38"/>
  <c r="BT14" i="38"/>
  <c r="BS14" i="38"/>
  <c r="BR14" i="38"/>
  <c r="BQ14" i="38"/>
  <c r="BP14" i="38"/>
  <c r="BO14" i="38"/>
  <c r="BN14" i="38"/>
  <c r="BM14" i="38"/>
  <c r="BL14" i="38"/>
  <c r="BK14" i="38"/>
  <c r="BJ14" i="38"/>
  <c r="BI14" i="38"/>
  <c r="BH14" i="38"/>
  <c r="BG14" i="38"/>
  <c r="BF14" i="38"/>
  <c r="BE14" i="38"/>
  <c r="BD14" i="38"/>
  <c r="BC14" i="38"/>
  <c r="BB14" i="38"/>
  <c r="BA14" i="38"/>
  <c r="AZ14" i="38"/>
  <c r="AY14" i="38"/>
  <c r="AX14" i="38"/>
  <c r="AW14" i="38"/>
  <c r="AV14" i="38"/>
  <c r="AU14" i="38"/>
  <c r="AT14" i="38"/>
  <c r="AS14" i="38"/>
  <c r="AR14" i="38"/>
  <c r="AQ14" i="38"/>
  <c r="AP14" i="38"/>
  <c r="AO14" i="38"/>
  <c r="AN14" i="38"/>
  <c r="AM14" i="38"/>
  <c r="AL14" i="38"/>
  <c r="AK14" i="38"/>
  <c r="AJ14" i="38"/>
  <c r="AI14" i="38"/>
  <c r="AH14" i="38"/>
  <c r="AG14" i="38"/>
  <c r="AF14" i="38"/>
  <c r="AE14" i="38"/>
  <c r="AD14" i="38"/>
  <c r="AC14" i="38"/>
  <c r="AB14" i="38"/>
  <c r="AA14" i="38"/>
  <c r="Z14" i="38"/>
  <c r="Y14" i="38"/>
  <c r="X14" i="38"/>
  <c r="J14" i="38"/>
  <c r="Q14" i="38" s="1"/>
  <c r="EE13" i="38"/>
  <c r="ED13" i="38"/>
  <c r="EC13" i="38"/>
  <c r="EB13" i="38"/>
  <c r="EA13" i="38"/>
  <c r="DZ13" i="38"/>
  <c r="DY13" i="38"/>
  <c r="DX13" i="38"/>
  <c r="DW13" i="38"/>
  <c r="DV13" i="38"/>
  <c r="DU13" i="38"/>
  <c r="DT13" i="38"/>
  <c r="DS13" i="38"/>
  <c r="DR13" i="38"/>
  <c r="DQ13" i="38"/>
  <c r="DP13" i="38"/>
  <c r="DO13" i="38"/>
  <c r="DN13" i="38"/>
  <c r="DM13" i="38"/>
  <c r="DL13" i="38"/>
  <c r="DK13" i="38"/>
  <c r="DJ13" i="38"/>
  <c r="DI13" i="38"/>
  <c r="DH13" i="38"/>
  <c r="DG13" i="38"/>
  <c r="DF13" i="38"/>
  <c r="DE13" i="38"/>
  <c r="DD13" i="38"/>
  <c r="DC13" i="38"/>
  <c r="DB13" i="38"/>
  <c r="DA13" i="38"/>
  <c r="CZ13" i="38"/>
  <c r="CY13" i="38"/>
  <c r="CX13" i="38"/>
  <c r="CW13" i="38"/>
  <c r="CV13" i="38"/>
  <c r="CU13" i="38"/>
  <c r="CT13" i="38"/>
  <c r="CS13" i="38"/>
  <c r="CR13" i="38"/>
  <c r="CQ13" i="38"/>
  <c r="CP13" i="38"/>
  <c r="CO13" i="38"/>
  <c r="CN13" i="38"/>
  <c r="CM13" i="38"/>
  <c r="CL13" i="38"/>
  <c r="CK13" i="38"/>
  <c r="CJ13" i="38"/>
  <c r="CI13" i="38"/>
  <c r="CH13" i="38"/>
  <c r="CG13" i="38"/>
  <c r="CF13" i="38"/>
  <c r="CE13" i="38"/>
  <c r="CD13" i="38"/>
  <c r="CC13" i="38"/>
  <c r="CB13" i="38"/>
  <c r="CA13" i="38"/>
  <c r="BZ13" i="38"/>
  <c r="BY13" i="38"/>
  <c r="BX13" i="38"/>
  <c r="BW13" i="38"/>
  <c r="BV13" i="38"/>
  <c r="BU13" i="38"/>
  <c r="BT13" i="38"/>
  <c r="BS13" i="38"/>
  <c r="BR13" i="38"/>
  <c r="BQ13" i="38"/>
  <c r="BP13" i="38"/>
  <c r="BO13" i="38"/>
  <c r="BN13" i="38"/>
  <c r="BM13" i="38"/>
  <c r="BL13" i="38"/>
  <c r="BK13" i="38"/>
  <c r="BJ13" i="38"/>
  <c r="BI13" i="38"/>
  <c r="BH13" i="38"/>
  <c r="BG13" i="38"/>
  <c r="BF13" i="38"/>
  <c r="BE13" i="38"/>
  <c r="BD13" i="38"/>
  <c r="BC13" i="38"/>
  <c r="BB13" i="38"/>
  <c r="BA13" i="38"/>
  <c r="AZ13" i="38"/>
  <c r="AY13" i="38"/>
  <c r="AX13" i="38"/>
  <c r="AW13" i="38"/>
  <c r="AV13" i="38"/>
  <c r="AU13" i="38"/>
  <c r="AT13" i="38"/>
  <c r="AS13" i="38"/>
  <c r="AR13" i="38"/>
  <c r="AQ13" i="38"/>
  <c r="AP13" i="38"/>
  <c r="AO13" i="38"/>
  <c r="AN13" i="38"/>
  <c r="AM13" i="38"/>
  <c r="AL13" i="38"/>
  <c r="AK13" i="38"/>
  <c r="AJ13" i="38"/>
  <c r="AI13" i="38"/>
  <c r="AH13" i="38"/>
  <c r="AG13" i="38"/>
  <c r="AF13" i="38"/>
  <c r="AE13" i="38"/>
  <c r="AD13" i="38"/>
  <c r="AC13" i="38"/>
  <c r="AB13" i="38"/>
  <c r="AA13" i="38"/>
  <c r="Z13" i="38"/>
  <c r="Y13" i="38"/>
  <c r="X13" i="38"/>
  <c r="B13" i="38"/>
  <c r="B14" i="38" s="1"/>
  <c r="C10" i="38"/>
  <c r="Q9" i="38"/>
  <c r="X5" i="38"/>
  <c r="J45" i="38" l="1"/>
  <c r="Q45" i="38" s="1"/>
  <c r="J36" i="38"/>
  <c r="S47" i="38"/>
  <c r="T47" i="38"/>
  <c r="R28" i="38"/>
  <c r="T28" i="38" s="1"/>
  <c r="A34" i="39"/>
  <c r="A35" i="39" s="1"/>
  <c r="A36" i="39" s="1"/>
  <c r="A37" i="39" s="1"/>
  <c r="A38" i="39" s="1"/>
  <c r="A39" i="39" s="1"/>
  <c r="A40" i="39" s="1"/>
  <c r="A41" i="39" s="1"/>
  <c r="Q32" i="38"/>
  <c r="S52" i="38"/>
  <c r="T52" i="38"/>
  <c r="S40" i="38"/>
  <c r="R56" i="38"/>
  <c r="T56" i="38" s="1"/>
  <c r="T40" i="38"/>
  <c r="R25" i="38"/>
  <c r="B15" i="38"/>
  <c r="T44" i="38"/>
  <c r="S44" i="38"/>
  <c r="X6" i="38"/>
  <c r="Y5" i="38" s="1"/>
  <c r="R14" i="38"/>
  <c r="R42" i="38"/>
  <c r="T42" i="38" s="1"/>
  <c r="R55" i="38"/>
  <c r="S55" i="38" s="1"/>
  <c r="X11" i="38"/>
  <c r="R37" i="38"/>
  <c r="T51" i="38"/>
  <c r="S51" i="38"/>
  <c r="X12" i="38"/>
  <c r="X9" i="38"/>
  <c r="R58" i="38"/>
  <c r="T58" i="38" s="1"/>
  <c r="R39" i="38"/>
  <c r="S39" i="38" s="1"/>
  <c r="R46" i="38"/>
  <c r="M45" i="38" s="1"/>
  <c r="T50" i="38"/>
  <c r="R33" i="38"/>
  <c r="T33" i="38" s="1"/>
  <c r="S59" i="38"/>
  <c r="T38" i="38"/>
  <c r="R35" i="38"/>
  <c r="T35" i="38" s="1"/>
  <c r="R43" i="38"/>
  <c r="T43" i="38" s="1"/>
  <c r="T54" i="38"/>
  <c r="R41" i="38"/>
  <c r="T41" i="38" s="1"/>
  <c r="R53" i="38"/>
  <c r="S53" i="38" s="1"/>
  <c r="R57" i="38"/>
  <c r="T57" i="38" s="1"/>
  <c r="S46" i="38" l="1"/>
  <c r="R45" i="38"/>
  <c r="Q36" i="38"/>
  <c r="S37" i="38"/>
  <c r="M36" i="38"/>
  <c r="S28" i="38"/>
  <c r="S14" i="38"/>
  <c r="S25" i="38"/>
  <c r="S56" i="38"/>
  <c r="S41" i="38"/>
  <c r="S43" i="38"/>
  <c r="S35" i="38"/>
  <c r="T37" i="38"/>
  <c r="S33" i="38"/>
  <c r="S57" i="38"/>
  <c r="R29" i="38"/>
  <c r="T29" i="38" s="1"/>
  <c r="X8" i="38"/>
  <c r="T25" i="38"/>
  <c r="S42" i="38"/>
  <c r="R32" i="38"/>
  <c r="S32" i="38" s="1"/>
  <c r="R34" i="38"/>
  <c r="R26" i="38"/>
  <c r="T26" i="38" s="1"/>
  <c r="X7" i="38"/>
  <c r="T14" i="38"/>
  <c r="T46" i="38"/>
  <c r="Y12" i="38"/>
  <c r="Y7" i="38"/>
  <c r="Y11" i="38"/>
  <c r="Y6" i="38"/>
  <c r="Z5" i="38" s="1"/>
  <c r="Y8" i="38"/>
  <c r="T53" i="38"/>
  <c r="B16" i="38"/>
  <c r="S58" i="38"/>
  <c r="T55" i="38"/>
  <c r="T39" i="38"/>
  <c r="S45" i="38" l="1"/>
  <c r="T45" i="38"/>
  <c r="R36" i="38"/>
  <c r="T36" i="38" s="1"/>
  <c r="B17" i="38"/>
  <c r="T34" i="38"/>
  <c r="S34" i="38"/>
  <c r="T32" i="38"/>
  <c r="S29" i="38"/>
  <c r="S26" i="38"/>
  <c r="Z12" i="38"/>
  <c r="Z7" i="38"/>
  <c r="Z11" i="38"/>
  <c r="Z6" i="38"/>
  <c r="AA5" i="38" s="1"/>
  <c r="Z8" i="38"/>
  <c r="S36" i="38" l="1"/>
  <c r="B18" i="38"/>
  <c r="AA11" i="38"/>
  <c r="AA8" i="38"/>
  <c r="AA7" i="38"/>
  <c r="AA12" i="38"/>
  <c r="AA6" i="38"/>
  <c r="AB5" i="38" s="1"/>
  <c r="B19" i="38" l="1"/>
  <c r="B20" i="38" s="1"/>
  <c r="B21" i="38" s="1"/>
  <c r="AB11" i="38"/>
  <c r="AB6" i="38"/>
  <c r="AC5" i="38" s="1"/>
  <c r="AB12" i="38"/>
  <c r="AB7" i="38"/>
  <c r="AB8" i="38"/>
  <c r="B22" i="38" l="1"/>
  <c r="B23" i="38" s="1"/>
  <c r="B24" i="38" s="1"/>
  <c r="B25" i="38" s="1"/>
  <c r="B26" i="38" s="1"/>
  <c r="B27" i="38" s="1"/>
  <c r="B28" i="38" s="1"/>
  <c r="B29" i="38" s="1"/>
  <c r="B30" i="38" s="1"/>
  <c r="AC11" i="38"/>
  <c r="AC6" i="38"/>
  <c r="AD5" i="38" s="1"/>
  <c r="X10" i="38" s="1"/>
  <c r="AC12" i="38"/>
  <c r="AC8" i="38"/>
  <c r="AC7" i="38"/>
  <c r="B31" i="38" l="1"/>
  <c r="B32" i="38" s="1"/>
  <c r="B33" i="38" s="1"/>
  <c r="B34" i="38" s="1"/>
  <c r="B35" i="38" s="1"/>
  <c r="B36" i="38" s="1"/>
  <c r="B37" i="38" s="1"/>
  <c r="B38" i="38" s="1"/>
  <c r="B39" i="38" s="1"/>
  <c r="B40" i="38" s="1"/>
  <c r="B41" i="38" s="1"/>
  <c r="B42" i="38" s="1"/>
  <c r="B43" i="38" s="1"/>
  <c r="B44" i="38" s="1"/>
  <c r="B45" i="38" s="1"/>
  <c r="B46" i="38" s="1"/>
  <c r="B47" i="38" s="1"/>
  <c r="AD11" i="38"/>
  <c r="AD6" i="38"/>
  <c r="AE5" i="38" s="1"/>
  <c r="AD12" i="38"/>
  <c r="AD8" i="38"/>
  <c r="AD7" i="38"/>
  <c r="AE12" i="38" l="1"/>
  <c r="AE7" i="38"/>
  <c r="AE6" i="38"/>
  <c r="AF5" i="38" s="1"/>
  <c r="AE9" i="38"/>
  <c r="AE8" i="38"/>
  <c r="AE11" i="38"/>
  <c r="AF8" i="38" l="1"/>
  <c r="AF11" i="38"/>
  <c r="AF6" i="38"/>
  <c r="AG5" i="38" s="1"/>
  <c r="AF12" i="38"/>
  <c r="AF7" i="38"/>
  <c r="AG8" i="38" l="1"/>
  <c r="AG11" i="38"/>
  <c r="AG6" i="38"/>
  <c r="AH5" i="38" s="1"/>
  <c r="AG12" i="38"/>
  <c r="AG7" i="38"/>
  <c r="AH8" i="38" l="1"/>
  <c r="AH11" i="38"/>
  <c r="AH7" i="38"/>
  <c r="AH6" i="38"/>
  <c r="AI5" i="38" s="1"/>
  <c r="AH12" i="38"/>
  <c r="AI12" i="38" l="1"/>
  <c r="AI11" i="38"/>
  <c r="AI7" i="38"/>
  <c r="AI6" i="38"/>
  <c r="AJ5" i="38" s="1"/>
  <c r="AI8" i="38"/>
  <c r="AJ12" i="38" l="1"/>
  <c r="AJ7" i="38"/>
  <c r="AJ6" i="38"/>
  <c r="AK5" i="38" s="1"/>
  <c r="AE10" i="38" s="1"/>
  <c r="AJ8" i="38"/>
  <c r="AJ11" i="38"/>
  <c r="AK12" i="38" l="1"/>
  <c r="AK7" i="38"/>
  <c r="AK6" i="38"/>
  <c r="AL5" i="38" s="1"/>
  <c r="AK8" i="38"/>
  <c r="AK11" i="38"/>
  <c r="AL12" i="38" l="1"/>
  <c r="AL7" i="38"/>
  <c r="AL9" i="38"/>
  <c r="AL8" i="38"/>
  <c r="AL11" i="38"/>
  <c r="AL6" i="38"/>
  <c r="AM5" i="38" s="1"/>
  <c r="AM11" i="38" l="1"/>
  <c r="AM7" i="38"/>
  <c r="AM12" i="38"/>
  <c r="AM6" i="38"/>
  <c r="AN5" i="38" s="1"/>
  <c r="AM8" i="38"/>
  <c r="AN11" i="38" l="1"/>
  <c r="AN6" i="38"/>
  <c r="AO5" i="38" s="1"/>
  <c r="AN8" i="38"/>
  <c r="AN12" i="38"/>
  <c r="AN7" i="38"/>
  <c r="AO11" i="38" l="1"/>
  <c r="AO6" i="38"/>
  <c r="AP5" i="38" s="1"/>
  <c r="AO12" i="38"/>
  <c r="AO8" i="38"/>
  <c r="AO7" i="38"/>
  <c r="AP11" i="38" l="1"/>
  <c r="AP6" i="38"/>
  <c r="AQ5" i="38" s="1"/>
  <c r="AP12" i="38"/>
  <c r="AP8" i="38"/>
  <c r="AP7" i="38"/>
  <c r="AQ11" i="38" l="1"/>
  <c r="AQ7" i="38"/>
  <c r="AQ6" i="38"/>
  <c r="AR5" i="38" s="1"/>
  <c r="AL10" i="38" s="1"/>
  <c r="AQ8" i="38"/>
  <c r="AQ12" i="38"/>
  <c r="AR8" i="38" l="1"/>
  <c r="AR12" i="38"/>
  <c r="AR6" i="38"/>
  <c r="AS5" i="38" s="1"/>
  <c r="AR11" i="38"/>
  <c r="AR7" i="38"/>
  <c r="AS9" i="38" l="1"/>
  <c r="AS8" i="38"/>
  <c r="AS12" i="38"/>
  <c r="AS11" i="38"/>
  <c r="AS7" i="38"/>
  <c r="AS6" i="38"/>
  <c r="AT5" i="38" s="1"/>
  <c r="AT8" i="38" l="1"/>
  <c r="AT12" i="38"/>
  <c r="AT11" i="38"/>
  <c r="AT7" i="38"/>
  <c r="AT6" i="38"/>
  <c r="AU5" i="38" s="1"/>
  <c r="AU12" i="38" l="1"/>
  <c r="AU6" i="38"/>
  <c r="AV5" i="38" s="1"/>
  <c r="AU8" i="38"/>
  <c r="AU11" i="38"/>
  <c r="AU7" i="38"/>
  <c r="AV12" i="38" l="1"/>
  <c r="AV7" i="38"/>
  <c r="AV11" i="38"/>
  <c r="AV8" i="38"/>
  <c r="AV6" i="38"/>
  <c r="AW5" i="38" s="1"/>
  <c r="AW12" i="38" l="1"/>
  <c r="AW7" i="38"/>
  <c r="AW11" i="38"/>
  <c r="AW8" i="38"/>
  <c r="AW6" i="38"/>
  <c r="AX5" i="38" s="1"/>
  <c r="AX12" i="38" l="1"/>
  <c r="AX7" i="38"/>
  <c r="AX8" i="38"/>
  <c r="AX11" i="38"/>
  <c r="AX6" i="38"/>
  <c r="AY5" i="38" s="1"/>
  <c r="AS10" i="38" s="1"/>
  <c r="AY11" i="38" l="1"/>
  <c r="AY12" i="38"/>
  <c r="AY6" i="38"/>
  <c r="AZ5" i="38" s="1"/>
  <c r="AY8" i="38"/>
  <c r="AY7" i="38"/>
  <c r="AZ9" i="38" l="1"/>
  <c r="AZ11" i="38"/>
  <c r="AZ6" i="38"/>
  <c r="BA5" i="38" s="1"/>
  <c r="AZ8" i="38"/>
  <c r="AZ7" i="38"/>
  <c r="AZ12" i="38"/>
  <c r="BA11" i="38" l="1"/>
  <c r="BA6" i="38"/>
  <c r="BB5" i="38" s="1"/>
  <c r="BA8" i="38"/>
  <c r="BA7" i="38"/>
  <c r="BA12" i="38"/>
  <c r="BB11" i="38" l="1"/>
  <c r="BB6" i="38"/>
  <c r="BC5" i="38" s="1"/>
  <c r="BB7" i="38"/>
  <c r="BB12" i="38"/>
  <c r="BB8" i="38"/>
  <c r="BC11" i="38" l="1"/>
  <c r="BC6" i="38"/>
  <c r="BD5" i="38" s="1"/>
  <c r="BC12" i="38"/>
  <c r="BC7" i="38"/>
  <c r="BC8" i="38"/>
  <c r="BD8" i="38" l="1"/>
  <c r="BD11" i="38"/>
  <c r="BD7" i="38"/>
  <c r="BD6" i="38"/>
  <c r="BE5" i="38" s="1"/>
  <c r="BD12" i="38"/>
  <c r="BE8" i="38" l="1"/>
  <c r="BE12" i="38"/>
  <c r="BE11" i="38"/>
  <c r="BE7" i="38"/>
  <c r="BE6" i="38"/>
  <c r="BF5" i="38" s="1"/>
  <c r="AZ10" i="38" s="1"/>
  <c r="BF8" i="38" l="1"/>
  <c r="BF12" i="38"/>
  <c r="BF7" i="38"/>
  <c r="BF6" i="38"/>
  <c r="BG5" i="38" s="1"/>
  <c r="BF11" i="38"/>
  <c r="BG12" i="38" l="1"/>
  <c r="BG9" i="38"/>
  <c r="BG11" i="38"/>
  <c r="BG6" i="38"/>
  <c r="BH5" i="38" s="1"/>
  <c r="BG7" i="38"/>
  <c r="BG8" i="38"/>
  <c r="BH12" i="38" l="1"/>
  <c r="BH7" i="38"/>
  <c r="BH8" i="38"/>
  <c r="BH6" i="38"/>
  <c r="BI5" i="38" s="1"/>
  <c r="BH11" i="38"/>
  <c r="BI12" i="38" l="1"/>
  <c r="BI7" i="38"/>
  <c r="BI11" i="38"/>
  <c r="BI6" i="38"/>
  <c r="BJ5" i="38" s="1"/>
  <c r="BI8" i="38"/>
  <c r="BJ12" i="38" l="1"/>
  <c r="BJ7" i="38"/>
  <c r="BJ11" i="38"/>
  <c r="BJ6" i="38"/>
  <c r="BK5" i="38" s="1"/>
  <c r="BJ8" i="38"/>
  <c r="BK11" i="38" l="1"/>
  <c r="BK8" i="38"/>
  <c r="BK7" i="38"/>
  <c r="BK12" i="38"/>
  <c r="BK6" i="38"/>
  <c r="BL5" i="38" s="1"/>
  <c r="BL11" i="38" l="1"/>
  <c r="BL6" i="38"/>
  <c r="BM5" i="38" s="1"/>
  <c r="BG10" i="38" s="1"/>
  <c r="BL12" i="38"/>
  <c r="BL7" i="38"/>
  <c r="BL8" i="38"/>
  <c r="BM11" i="38" l="1"/>
  <c r="BM6" i="38"/>
  <c r="BN5" i="38" s="1"/>
  <c r="BM12" i="38"/>
  <c r="BM7" i="38"/>
  <c r="BM8" i="38"/>
  <c r="BN11" i="38" l="1"/>
  <c r="BN6" i="38"/>
  <c r="BO5" i="38" s="1"/>
  <c r="BN12" i="38"/>
  <c r="BN8" i="38"/>
  <c r="BN9" i="38"/>
  <c r="BN7" i="38"/>
  <c r="BO12" i="38" l="1"/>
  <c r="BO8" i="38"/>
  <c r="BO7" i="38"/>
  <c r="BO6" i="38"/>
  <c r="BP5" i="38" s="1"/>
  <c r="BO11" i="38"/>
  <c r="BP8" i="38" l="1"/>
  <c r="BP11" i="38"/>
  <c r="BP7" i="38"/>
  <c r="BP6" i="38"/>
  <c r="BQ5" i="38" s="1"/>
  <c r="BP12" i="38"/>
  <c r="BQ8" i="38" l="1"/>
  <c r="BQ7" i="38"/>
  <c r="BQ6" i="38"/>
  <c r="BR5" i="38" s="1"/>
  <c r="BQ11" i="38"/>
  <c r="BQ12" i="38"/>
  <c r="BR8" i="38" l="1"/>
  <c r="BR6" i="38"/>
  <c r="BS5" i="38" s="1"/>
  <c r="BR11" i="38"/>
  <c r="BR12" i="38"/>
  <c r="BR7" i="38"/>
  <c r="BS12" i="38" l="1"/>
  <c r="BS11" i="38"/>
  <c r="BS8" i="38"/>
  <c r="BS7" i="38"/>
  <c r="BS6" i="38"/>
  <c r="BT5" i="38" s="1"/>
  <c r="BN10" i="38" s="1"/>
  <c r="BT12" i="38" l="1"/>
  <c r="BT7" i="38"/>
  <c r="BT6" i="38"/>
  <c r="BU5" i="38" s="1"/>
  <c r="BT8" i="38"/>
  <c r="BT11" i="38"/>
  <c r="BU12" i="38" l="1"/>
  <c r="BU7" i="38"/>
  <c r="BU11" i="38"/>
  <c r="BU6" i="38"/>
  <c r="BV5" i="38" s="1"/>
  <c r="BU9" i="38"/>
  <c r="BU8" i="38"/>
  <c r="BV12" i="38" l="1"/>
  <c r="BV7" i="38"/>
  <c r="BV6" i="38"/>
  <c r="BW5" i="38" s="1"/>
  <c r="BV8" i="38"/>
  <c r="BV11" i="38"/>
  <c r="BW11" i="38" l="1"/>
  <c r="BW12" i="38"/>
  <c r="BW8" i="38"/>
  <c r="BW6" i="38"/>
  <c r="BX5" i="38" s="1"/>
  <c r="BW7" i="38"/>
  <c r="BX11" i="38" l="1"/>
  <c r="BX6" i="38"/>
  <c r="BY5" i="38" s="1"/>
  <c r="BX7" i="38"/>
  <c r="BX8" i="38"/>
  <c r="BX12" i="38"/>
  <c r="BY11" i="38" l="1"/>
  <c r="BY6" i="38"/>
  <c r="BZ5" i="38" s="1"/>
  <c r="BY12" i="38"/>
  <c r="BY8" i="38"/>
  <c r="BY7" i="38"/>
  <c r="BZ11" i="38" l="1"/>
  <c r="BZ6" i="38"/>
  <c r="CA5" i="38" s="1"/>
  <c r="BU10" i="38" s="1"/>
  <c r="BZ12" i="38"/>
  <c r="BZ8" i="38"/>
  <c r="BZ7" i="38"/>
  <c r="CA7" i="38" l="1"/>
  <c r="CA6" i="38"/>
  <c r="CB5" i="38" s="1"/>
  <c r="CA11" i="38"/>
  <c r="CA8" i="38"/>
  <c r="CA12" i="38"/>
  <c r="CB8" i="38" l="1"/>
  <c r="CB12" i="38"/>
  <c r="CB9" i="38"/>
  <c r="CB6" i="38"/>
  <c r="CC5" i="38" s="1"/>
  <c r="CB11" i="38"/>
  <c r="CB7" i="38"/>
  <c r="CC8" i="38" l="1"/>
  <c r="CC12" i="38"/>
  <c r="CC11" i="38"/>
  <c r="CC6" i="38"/>
  <c r="CD5" i="38" s="1"/>
  <c r="CC7" i="38"/>
  <c r="CD8" i="38" l="1"/>
  <c r="CD12" i="38"/>
  <c r="CD7" i="38"/>
  <c r="CD11" i="38"/>
  <c r="CD6" i="38"/>
  <c r="CE5" i="38" s="1"/>
  <c r="CE12" i="38" l="1"/>
  <c r="CE8" i="38"/>
  <c r="CE7" i="38"/>
  <c r="CE6" i="38"/>
  <c r="CF5" i="38" s="1"/>
  <c r="CE11" i="38"/>
  <c r="CF12" i="38" l="1"/>
  <c r="CF7" i="38"/>
  <c r="CF6" i="38"/>
  <c r="CG5" i="38" s="1"/>
  <c r="CF8" i="38"/>
  <c r="CF11" i="38"/>
  <c r="CG12" i="38" l="1"/>
  <c r="CG7" i="38"/>
  <c r="CG6" i="38"/>
  <c r="CH5" i="38" s="1"/>
  <c r="CB10" i="38" s="1"/>
  <c r="CG8" i="38"/>
  <c r="CG11" i="38"/>
  <c r="CH12" i="38" l="1"/>
  <c r="CH7" i="38"/>
  <c r="CH8" i="38"/>
  <c r="CH11" i="38"/>
  <c r="CH6" i="38"/>
  <c r="CI5" i="38" s="1"/>
  <c r="CI11" i="38" l="1"/>
  <c r="CI12" i="38"/>
  <c r="CI7" i="38"/>
  <c r="CI9" i="38"/>
  <c r="CI8" i="38"/>
  <c r="CI6" i="38"/>
  <c r="CJ5" i="38" s="1"/>
  <c r="CJ11" i="38" l="1"/>
  <c r="CJ6" i="38"/>
  <c r="CK5" i="38" s="1"/>
  <c r="CJ7" i="38"/>
  <c r="CJ12" i="38"/>
  <c r="CJ8" i="38"/>
  <c r="CK11" i="38" l="1"/>
  <c r="CK6" i="38"/>
  <c r="CL5" i="38" s="1"/>
  <c r="CK7" i="38"/>
  <c r="CK12" i="38"/>
  <c r="CK8" i="38"/>
  <c r="CL11" i="38" l="1"/>
  <c r="CL6" i="38"/>
  <c r="CM5" i="38" s="1"/>
  <c r="CL8" i="38"/>
  <c r="CL7" i="38"/>
  <c r="CL12" i="38"/>
  <c r="CM11" i="38" l="1"/>
  <c r="CM12" i="38"/>
  <c r="CM7" i="38"/>
  <c r="CM6" i="38"/>
  <c r="CN5" i="38" s="1"/>
  <c r="CM8" i="38"/>
  <c r="CN8" i="38" l="1"/>
  <c r="CN6" i="38"/>
  <c r="CO5" i="38" s="1"/>
  <c r="CI10" i="38" s="1"/>
  <c r="CN7" i="38"/>
  <c r="CN11" i="38"/>
  <c r="CN12" i="38"/>
  <c r="CO8" i="38" l="1"/>
  <c r="CO12" i="38"/>
  <c r="CO7" i="38"/>
  <c r="CO11" i="38"/>
  <c r="CO6" i="38"/>
  <c r="CP5" i="38" s="1"/>
  <c r="CP8" i="38" l="1"/>
  <c r="CP9" i="38"/>
  <c r="CP12" i="38"/>
  <c r="CP7" i="38"/>
  <c r="CP6" i="38"/>
  <c r="CQ5" i="38" s="1"/>
  <c r="CP11" i="38"/>
  <c r="CQ12" i="38" l="1"/>
  <c r="CQ6" i="38"/>
  <c r="CR5" i="38" s="1"/>
  <c r="CQ8" i="38"/>
  <c r="CQ11" i="38"/>
  <c r="CQ7" i="38"/>
  <c r="CR12" i="38" l="1"/>
  <c r="CR7" i="38"/>
  <c r="CR8" i="38"/>
  <c r="CR11" i="38"/>
  <c r="CR6" i="38"/>
  <c r="CS5" i="38" s="1"/>
  <c r="CS12" i="38" l="1"/>
  <c r="CS7" i="38"/>
  <c r="CS11" i="38"/>
  <c r="CS6" i="38"/>
  <c r="CT5" i="38" s="1"/>
  <c r="CS8" i="38"/>
  <c r="CT12" i="38" l="1"/>
  <c r="CT7" i="38"/>
  <c r="CT6" i="38"/>
  <c r="CU5" i="38" s="1"/>
  <c r="CT8" i="38"/>
  <c r="CT11" i="38"/>
  <c r="CU11" i="38" l="1"/>
  <c r="CU6" i="38"/>
  <c r="CV5" i="38" s="1"/>
  <c r="CP10" i="38" s="1"/>
  <c r="CU8" i="38"/>
  <c r="CU12" i="38"/>
  <c r="CU7" i="38"/>
  <c r="CV11" i="38" l="1"/>
  <c r="CV6" i="38"/>
  <c r="CW5" i="38" s="1"/>
  <c r="CV12" i="38"/>
  <c r="CV8" i="38"/>
  <c r="CV7" i="38"/>
  <c r="CW11" i="38" l="1"/>
  <c r="CW6" i="38"/>
  <c r="CX5" i="38" s="1"/>
  <c r="CW9" i="38"/>
  <c r="CW8" i="38"/>
  <c r="CW7" i="38"/>
  <c r="CW12" i="38"/>
  <c r="CX11" i="38" l="1"/>
  <c r="CX6" i="38"/>
  <c r="CY5" i="38" s="1"/>
  <c r="CX7" i="38"/>
  <c r="CX12" i="38"/>
  <c r="CX8" i="38"/>
  <c r="CY12" i="38" l="1"/>
  <c r="CY6" i="38"/>
  <c r="CZ5" i="38" s="1"/>
  <c r="CY8" i="38"/>
  <c r="CY7" i="38"/>
  <c r="CY11" i="38"/>
  <c r="CZ8" i="38" l="1"/>
  <c r="CZ11" i="38"/>
  <c r="CZ12" i="38"/>
  <c r="CZ6" i="38"/>
  <c r="DA5" i="38" s="1"/>
  <c r="CZ7" i="38"/>
  <c r="DA8" i="38" l="1"/>
  <c r="DA11" i="38"/>
  <c r="DA12" i="38"/>
  <c r="DA6" i="38"/>
  <c r="DB5" i="38" s="1"/>
  <c r="DA7" i="38"/>
  <c r="DB8" i="38" l="1"/>
  <c r="DB11" i="38"/>
  <c r="DB7" i="38"/>
  <c r="DB6" i="38"/>
  <c r="DC5" i="38" s="1"/>
  <c r="CW10" i="38" s="1"/>
  <c r="DB12" i="38"/>
  <c r="DC12" i="38" l="1"/>
  <c r="DC11" i="38"/>
  <c r="DC6" i="38"/>
  <c r="DD5" i="38" s="1"/>
  <c r="DC8" i="38"/>
  <c r="DC7" i="38"/>
  <c r="DD12" i="38" l="1"/>
  <c r="DD7" i="38"/>
  <c r="DD8" i="38"/>
  <c r="DD6" i="38"/>
  <c r="DE5" i="38" s="1"/>
  <c r="DD11" i="38"/>
  <c r="DD9" i="38"/>
  <c r="DE12" i="38" l="1"/>
  <c r="DE7" i="38"/>
  <c r="DE6" i="38"/>
  <c r="DF5" i="38" s="1"/>
  <c r="DE11" i="38"/>
  <c r="DE8" i="38"/>
  <c r="DF12" i="38" l="1"/>
  <c r="DF7" i="38"/>
  <c r="DF6" i="38"/>
  <c r="DG5" i="38" s="1"/>
  <c r="DF8" i="38"/>
  <c r="DF11" i="38"/>
  <c r="DG11" i="38" l="1"/>
  <c r="DG8" i="38"/>
  <c r="DG7" i="38"/>
  <c r="DG12" i="38"/>
  <c r="DG6" i="38"/>
  <c r="DH5" i="38" s="1"/>
  <c r="DH11" i="38" l="1"/>
  <c r="DH6" i="38"/>
  <c r="DI5" i="38" s="1"/>
  <c r="DH7" i="38"/>
  <c r="DH12" i="38"/>
  <c r="DH8" i="38"/>
  <c r="DI11" i="38" l="1"/>
  <c r="DI6" i="38"/>
  <c r="DJ5" i="38" s="1"/>
  <c r="DD10" i="38" s="1"/>
  <c r="DI8" i="38"/>
  <c r="DI12" i="38"/>
  <c r="DI7" i="38"/>
  <c r="DJ11" i="38" l="1"/>
  <c r="DJ6" i="38"/>
  <c r="DK5" i="38" s="1"/>
  <c r="DJ8" i="38"/>
  <c r="DJ12" i="38"/>
  <c r="DJ7" i="38"/>
  <c r="DK8" i="38" l="1"/>
  <c r="DK7" i="38"/>
  <c r="DK11" i="38"/>
  <c r="DK12" i="38"/>
  <c r="DK6" i="38"/>
  <c r="DL5" i="38" s="1"/>
  <c r="DK9" i="38"/>
  <c r="DL8" i="38" l="1"/>
  <c r="DL7" i="38"/>
  <c r="DL6" i="38"/>
  <c r="DM5" i="38" s="1"/>
  <c r="DL12" i="38"/>
  <c r="DL11" i="38"/>
  <c r="DM8" i="38" l="1"/>
  <c r="DM7" i="38"/>
  <c r="DM6" i="38"/>
  <c r="DN5" i="38" s="1"/>
  <c r="DM12" i="38"/>
  <c r="DM11" i="38"/>
  <c r="DN8" i="38" l="1"/>
  <c r="DN6" i="38"/>
  <c r="DO5" i="38" s="1"/>
  <c r="DN12" i="38"/>
  <c r="DN11" i="38"/>
  <c r="DN7" i="38"/>
  <c r="DO12" i="38" l="1"/>
  <c r="DO8" i="38"/>
  <c r="DO11" i="38"/>
  <c r="DO6" i="38"/>
  <c r="DP5" i="38" s="1"/>
  <c r="DO7" i="38"/>
  <c r="DP12" i="38" l="1"/>
  <c r="DP7" i="38"/>
  <c r="DP11" i="38"/>
  <c r="DP8" i="38"/>
  <c r="DP6" i="38"/>
  <c r="DQ5" i="38" s="1"/>
  <c r="DK10" i="38" s="1"/>
  <c r="DQ12" i="38" l="1"/>
  <c r="DQ7" i="38"/>
  <c r="DQ11" i="38"/>
  <c r="DQ8" i="38"/>
  <c r="DQ6" i="38"/>
  <c r="DR5" i="38" s="1"/>
  <c r="DR12" i="38" l="1"/>
  <c r="DR7" i="38"/>
  <c r="DR9" i="38"/>
  <c r="DR11" i="38"/>
  <c r="DR6" i="38"/>
  <c r="DS5" i="38" s="1"/>
  <c r="DR8" i="38"/>
  <c r="DS11" i="38" l="1"/>
  <c r="DS12" i="38"/>
  <c r="DS8" i="38"/>
  <c r="DS7" i="38"/>
  <c r="DS6" i="38"/>
  <c r="DT5" i="38" s="1"/>
  <c r="DT11" i="38" l="1"/>
  <c r="DT6" i="38"/>
  <c r="DU5" i="38" s="1"/>
  <c r="DT7" i="38"/>
  <c r="DT12" i="38"/>
  <c r="DT8" i="38"/>
  <c r="DU11" i="38" l="1"/>
  <c r="DU6" i="38"/>
  <c r="DV5" i="38" s="1"/>
  <c r="DU8" i="38"/>
  <c r="DU7" i="38"/>
  <c r="DU12" i="38"/>
  <c r="DV11" i="38" l="1"/>
  <c r="DV6" i="38"/>
  <c r="DW5" i="38" s="1"/>
  <c r="DV8" i="38"/>
  <c r="DV7" i="38"/>
  <c r="DV12" i="38"/>
  <c r="DW11" i="38" l="1"/>
  <c r="DW7" i="38"/>
  <c r="DW6" i="38"/>
  <c r="DX5" i="38" s="1"/>
  <c r="DR10" i="38" s="1"/>
  <c r="DW12" i="38"/>
  <c r="DW8" i="38"/>
  <c r="DX8" i="38" l="1"/>
  <c r="DX6" i="38"/>
  <c r="DY5" i="38" s="1"/>
  <c r="DX7" i="38"/>
  <c r="DX11" i="38"/>
  <c r="DX12" i="38"/>
  <c r="DY9" i="38" l="1"/>
  <c r="DY8" i="38"/>
  <c r="DY12" i="38"/>
  <c r="DY6" i="38"/>
  <c r="DZ5" i="38" s="1"/>
  <c r="DY11" i="38"/>
  <c r="DY7" i="38"/>
  <c r="DZ8" i="38" l="1"/>
  <c r="DZ7" i="38"/>
  <c r="DZ12" i="38"/>
  <c r="DZ11" i="38"/>
  <c r="DZ6" i="38"/>
  <c r="EA5" i="38" s="1"/>
  <c r="EA12" i="38" l="1"/>
  <c r="EA7" i="38"/>
  <c r="EA8" i="38"/>
  <c r="EA6" i="38"/>
  <c r="EB5" i="38" s="1"/>
  <c r="EA11" i="38"/>
  <c r="EB12" i="38" l="1"/>
  <c r="EB7" i="38"/>
  <c r="EB6" i="38"/>
  <c r="EC5" i="38" s="1"/>
  <c r="EB8" i="38"/>
  <c r="EB11" i="38"/>
  <c r="EC12" i="38" l="1"/>
  <c r="EC7" i="38"/>
  <c r="EC6" i="38"/>
  <c r="ED5" i="38" s="1"/>
  <c r="EC8" i="38"/>
  <c r="EC11" i="38"/>
  <c r="ED12" i="38" l="1"/>
  <c r="ED7" i="38"/>
  <c r="ED8" i="38"/>
  <c r="ED11" i="38"/>
  <c r="ED6" i="38"/>
  <c r="EE5" i="38" s="1"/>
  <c r="DY10" i="38" s="1"/>
  <c r="EE11" i="38" l="1"/>
  <c r="EE7" i="38"/>
  <c r="EE6" i="38"/>
  <c r="EE12" i="38"/>
  <c r="EE8" i="38"/>
  <c r="M78" i="8" l="1"/>
  <c r="Q49" i="12"/>
  <c r="R49" i="12"/>
  <c r="S49" i="12"/>
  <c r="T49" i="12"/>
  <c r="Q50" i="12"/>
  <c r="R50" i="12"/>
  <c r="S50" i="12"/>
  <c r="T50" i="12"/>
  <c r="Q51" i="12"/>
  <c r="R51" i="12"/>
  <c r="S51" i="12"/>
  <c r="T51" i="12"/>
  <c r="Q52" i="12"/>
  <c r="R52" i="12"/>
  <c r="S52" i="12"/>
  <c r="T52" i="12"/>
  <c r="Q53" i="12"/>
  <c r="R53" i="12"/>
  <c r="S53" i="12"/>
  <c r="T53" i="12"/>
  <c r="Q54" i="12"/>
  <c r="R54" i="12"/>
  <c r="S54" i="12"/>
  <c r="T54" i="12"/>
  <c r="Q55" i="12"/>
  <c r="R55" i="12"/>
  <c r="S55" i="12"/>
  <c r="T55" i="12"/>
  <c r="Q56" i="12"/>
  <c r="R56" i="12"/>
  <c r="S56" i="12"/>
  <c r="T56" i="12"/>
  <c r="Q57" i="12"/>
  <c r="R57" i="12"/>
  <c r="S57" i="12"/>
  <c r="T57" i="12"/>
  <c r="Q58" i="12"/>
  <c r="R58" i="12"/>
  <c r="S58" i="12"/>
  <c r="T58" i="12"/>
  <c r="Q59" i="12"/>
  <c r="R59" i="12"/>
  <c r="S59" i="12"/>
  <c r="T59" i="12"/>
  <c r="Q60" i="12"/>
  <c r="R60" i="12"/>
  <c r="S60" i="12"/>
  <c r="T60" i="12"/>
  <c r="Q61" i="12"/>
  <c r="R61" i="12"/>
  <c r="S61" i="12"/>
  <c r="T61" i="12"/>
  <c r="Q62" i="12"/>
  <c r="R62" i="12"/>
  <c r="S62" i="12"/>
  <c r="T62" i="12"/>
  <c r="Q63" i="12"/>
  <c r="R63" i="12"/>
  <c r="S63" i="12"/>
  <c r="T63" i="12"/>
  <c r="Q64" i="12"/>
  <c r="R64" i="12"/>
  <c r="S64" i="12"/>
  <c r="T64" i="12"/>
  <c r="Q65" i="12"/>
  <c r="R65" i="12"/>
  <c r="S65" i="12"/>
  <c r="T65" i="12"/>
  <c r="Q66" i="12"/>
  <c r="R66" i="12"/>
  <c r="S66" i="12"/>
  <c r="T66" i="12"/>
  <c r="Q67" i="12"/>
  <c r="R67" i="12"/>
  <c r="S67" i="12"/>
  <c r="T67" i="12"/>
  <c r="Q68" i="12"/>
  <c r="R68" i="12"/>
  <c r="S68" i="12"/>
  <c r="T68" i="12"/>
  <c r="Q69" i="12"/>
  <c r="R69" i="12"/>
  <c r="S69" i="12"/>
  <c r="T69" i="12"/>
  <c r="Q70" i="12"/>
  <c r="R70" i="12"/>
  <c r="S70" i="12"/>
  <c r="T70" i="12"/>
  <c r="W70" i="12"/>
  <c r="Q71" i="12"/>
  <c r="R71" i="12"/>
  <c r="S71" i="12"/>
  <c r="T71" i="12"/>
  <c r="Q72" i="12"/>
  <c r="R72" i="12"/>
  <c r="S72" i="12"/>
  <c r="T72" i="12"/>
  <c r="Q73" i="12"/>
  <c r="R73" i="12"/>
  <c r="S73" i="12"/>
  <c r="T73" i="12"/>
  <c r="Q74" i="12"/>
  <c r="R74" i="12"/>
  <c r="S74" i="12"/>
  <c r="T74" i="12"/>
  <c r="Q75" i="12"/>
  <c r="R75" i="12"/>
  <c r="S75" i="12"/>
  <c r="T75" i="12"/>
  <c r="Q76" i="12"/>
  <c r="R76" i="12"/>
  <c r="S76" i="12"/>
  <c r="T76" i="12"/>
  <c r="Q77" i="12"/>
  <c r="R77" i="12"/>
  <c r="S77" i="12"/>
  <c r="T77" i="12"/>
  <c r="Q78" i="12"/>
  <c r="R78" i="12"/>
  <c r="S78" i="12"/>
  <c r="T78" i="12"/>
  <c r="Q79" i="12"/>
  <c r="R79" i="12"/>
  <c r="S79" i="12"/>
  <c r="T79" i="12"/>
  <c r="W79" i="12" s="1"/>
  <c r="Q80" i="12"/>
  <c r="R80" i="12"/>
  <c r="S80" i="12"/>
  <c r="T80" i="12"/>
  <c r="Q81" i="12"/>
  <c r="R81" i="12"/>
  <c r="S81" i="12"/>
  <c r="T81" i="12"/>
  <c r="Q82" i="12"/>
  <c r="R82" i="12"/>
  <c r="S82" i="12"/>
  <c r="T82" i="12"/>
  <c r="Q83" i="12"/>
  <c r="R83" i="12"/>
  <c r="S83" i="12"/>
  <c r="T83" i="12"/>
  <c r="Q84" i="12"/>
  <c r="R84" i="12"/>
  <c r="S84" i="12"/>
  <c r="T84" i="12"/>
  <c r="Q37" i="12"/>
  <c r="R37" i="12"/>
  <c r="S37" i="12"/>
  <c r="T37" i="12"/>
  <c r="Q38" i="12"/>
  <c r="R38" i="12"/>
  <c r="S38" i="12"/>
  <c r="T38" i="12"/>
  <c r="Q39" i="12"/>
  <c r="R39" i="12"/>
  <c r="S39" i="12"/>
  <c r="T39" i="12"/>
  <c r="Q40" i="12"/>
  <c r="R40" i="12"/>
  <c r="S40" i="12"/>
  <c r="T40" i="12"/>
  <c r="Q41" i="12"/>
  <c r="R41" i="12"/>
  <c r="S41" i="12"/>
  <c r="T41" i="12"/>
  <c r="Q42" i="12"/>
  <c r="R42" i="12"/>
  <c r="S42" i="12"/>
  <c r="T42" i="12"/>
  <c r="Q43" i="12"/>
  <c r="R43" i="12"/>
  <c r="S43" i="12"/>
  <c r="T43" i="12"/>
  <c r="Q44" i="12"/>
  <c r="R44" i="12"/>
  <c r="S44" i="12"/>
  <c r="T44" i="12"/>
  <c r="Q45" i="12"/>
  <c r="R45" i="12"/>
  <c r="S45" i="12"/>
  <c r="T45" i="12"/>
  <c r="Q46" i="12"/>
  <c r="R46" i="12"/>
  <c r="S46" i="12"/>
  <c r="T46" i="12"/>
  <c r="Q47" i="12"/>
  <c r="R47" i="12"/>
  <c r="S47" i="12"/>
  <c r="T47" i="12"/>
  <c r="Q48" i="12"/>
  <c r="R48" i="12"/>
  <c r="S48" i="12"/>
  <c r="T48" i="12"/>
  <c r="Q30" i="12"/>
  <c r="R30" i="12"/>
  <c r="S30" i="12"/>
  <c r="T30" i="12"/>
  <c r="Q31" i="12"/>
  <c r="R31" i="12"/>
  <c r="S31" i="12"/>
  <c r="T31" i="12"/>
  <c r="Q32" i="12"/>
  <c r="R32" i="12"/>
  <c r="S32" i="12"/>
  <c r="T32" i="12"/>
  <c r="Q33" i="12"/>
  <c r="R33" i="12"/>
  <c r="S33" i="12"/>
  <c r="T33" i="12"/>
  <c r="Q34" i="12"/>
  <c r="R34" i="12"/>
  <c r="S34" i="12"/>
  <c r="T34" i="12"/>
  <c r="Q35" i="12"/>
  <c r="R35" i="12"/>
  <c r="S35" i="12"/>
  <c r="T35" i="12"/>
  <c r="Q36" i="12"/>
  <c r="R36" i="12"/>
  <c r="S36" i="12"/>
  <c r="T36" i="12"/>
  <c r="Q27" i="12"/>
  <c r="Q28" i="12"/>
  <c r="Q29" i="12"/>
  <c r="T27" i="12"/>
  <c r="T28" i="12"/>
  <c r="T29" i="12"/>
  <c r="C15" i="10"/>
  <c r="C16" i="10" s="1"/>
  <c r="C17" i="10" s="1"/>
  <c r="C18" i="10" s="1"/>
  <c r="C19" i="10" s="1"/>
  <c r="C20" i="10" s="1"/>
  <c r="C14" i="10"/>
  <c r="C14" i="9"/>
  <c r="C15" i="9" s="1"/>
  <c r="C16" i="9" s="1"/>
  <c r="C17" i="9" s="1"/>
  <c r="C14" i="8"/>
  <c r="E36" i="25"/>
  <c r="F36" i="25"/>
  <c r="G36" i="25"/>
  <c r="H36" i="25"/>
  <c r="I36" i="25"/>
  <c r="D36" i="25"/>
  <c r="D20" i="25"/>
  <c r="E21" i="25"/>
  <c r="F21" i="25"/>
  <c r="G21" i="25"/>
  <c r="H21" i="25"/>
  <c r="I21" i="25"/>
  <c r="D21" i="25"/>
  <c r="E56" i="27"/>
  <c r="F56" i="27"/>
  <c r="G56" i="27"/>
  <c r="H56" i="27"/>
  <c r="I56" i="27"/>
  <c r="D56" i="27"/>
  <c r="E53" i="27"/>
  <c r="F53" i="27"/>
  <c r="G53" i="27"/>
  <c r="H53" i="27"/>
  <c r="I53" i="27"/>
  <c r="D53" i="27"/>
  <c r="T85" i="12" l="1"/>
  <c r="W32" i="12"/>
  <c r="W72" i="12"/>
  <c r="W81" i="12"/>
  <c r="Q85" i="12"/>
  <c r="W84" i="12"/>
  <c r="W42" i="12"/>
  <c r="W67" i="12"/>
  <c r="W76" i="12"/>
  <c r="W78" i="12"/>
  <c r="W75" i="12"/>
  <c r="W35" i="12"/>
  <c r="W36" i="12"/>
  <c r="W33" i="12"/>
  <c r="W30" i="12"/>
  <c r="W46" i="12"/>
  <c r="W48" i="12"/>
  <c r="W43" i="12"/>
  <c r="W40" i="12"/>
  <c r="W37" i="12"/>
  <c r="W45" i="12"/>
  <c r="W52" i="12"/>
  <c r="W66" i="12"/>
  <c r="W63" i="12"/>
  <c r="W69" i="12"/>
  <c r="W61" i="12"/>
  <c r="W39" i="12"/>
  <c r="W54" i="12"/>
  <c r="W82" i="12"/>
  <c r="W73" i="12"/>
  <c r="W64" i="12"/>
  <c r="W49" i="12"/>
  <c r="W51" i="12"/>
  <c r="W60" i="12"/>
  <c r="W58" i="12"/>
  <c r="W55" i="12"/>
  <c r="W57" i="12"/>
  <c r="W83" i="12"/>
  <c r="W80" i="12"/>
  <c r="W77" i="12"/>
  <c r="W74" i="12"/>
  <c r="W71" i="12"/>
  <c r="W68" i="12"/>
  <c r="W65" i="12"/>
  <c r="W62" i="12"/>
  <c r="W59" i="12"/>
  <c r="W56" i="12"/>
  <c r="W53" i="12"/>
  <c r="W50" i="12"/>
  <c r="W47" i="12"/>
  <c r="W44" i="12"/>
  <c r="W41" i="12"/>
  <c r="W38" i="12"/>
  <c r="W34" i="12"/>
  <c r="W31" i="12"/>
  <c r="M50" i="8"/>
  <c r="G20" i="25"/>
  <c r="G22" i="25" s="1"/>
  <c r="I35" i="25"/>
  <c r="I37" i="25" s="1"/>
  <c r="H20" i="25"/>
  <c r="H22" i="25" s="1"/>
  <c r="H35" i="25"/>
  <c r="G35" i="25"/>
  <c r="G37" i="25" s="1"/>
  <c r="F35" i="25"/>
  <c r="E35" i="25"/>
  <c r="E37" i="25" s="1"/>
  <c r="I20" i="25"/>
  <c r="I22" i="25" s="1"/>
  <c r="E20" i="25"/>
  <c r="E22" i="25" s="1"/>
  <c r="F37" i="25"/>
  <c r="F20" i="25"/>
  <c r="F22" i="25" s="1"/>
  <c r="D35" i="25"/>
  <c r="D37" i="25" s="1"/>
  <c r="D22" i="25"/>
  <c r="J56" i="27"/>
  <c r="J53" i="27"/>
  <c r="J6" i="27"/>
  <c r="J9" i="27"/>
  <c r="F39" i="20"/>
  <c r="F38" i="20"/>
  <c r="F37" i="20"/>
  <c r="F36" i="20"/>
  <c r="F35" i="20"/>
  <c r="F34" i="20"/>
  <c r="F33" i="20"/>
  <c r="F32" i="20"/>
  <c r="F31" i="20"/>
  <c r="F30" i="20"/>
  <c r="F29" i="20"/>
  <c r="F28" i="20"/>
  <c r="F27" i="20"/>
  <c r="F26" i="20"/>
  <c r="F25" i="20"/>
  <c r="F24" i="20"/>
  <c r="F23" i="20"/>
  <c r="F22" i="20"/>
  <c r="F21" i="20"/>
  <c r="F20" i="20"/>
  <c r="F19" i="20"/>
  <c r="F18" i="20"/>
  <c r="F17" i="20"/>
  <c r="F16" i="20"/>
  <c r="F15" i="20"/>
  <c r="F14" i="20"/>
  <c r="L17" i="8" s="1"/>
  <c r="B7" i="20"/>
  <c r="B8" i="20" s="1"/>
  <c r="B9" i="20" s="1"/>
  <c r="B10" i="20" s="1"/>
  <c r="B11" i="20" s="1"/>
  <c r="B12" i="20" s="1"/>
  <c r="B13" i="20" s="1"/>
  <c r="B14" i="20" s="1"/>
  <c r="B15" i="20" s="1"/>
  <c r="B16" i="20" s="1"/>
  <c r="E7" i="20"/>
  <c r="F7" i="20" s="1"/>
  <c r="L14" i="8" s="1"/>
  <c r="E6" i="20"/>
  <c r="F6" i="20" s="1"/>
  <c r="L13" i="8" s="1"/>
  <c r="E10" i="20"/>
  <c r="F10" i="20" s="1"/>
  <c r="E9" i="20"/>
  <c r="F9" i="20" s="1"/>
  <c r="E8" i="20"/>
  <c r="F8" i="20" s="1"/>
  <c r="E12" i="20"/>
  <c r="F12" i="20" s="1"/>
  <c r="E11" i="20"/>
  <c r="F13" i="20"/>
  <c r="F124" i="20"/>
  <c r="F77" i="20"/>
  <c r="L21" i="8" s="1"/>
  <c r="F76" i="20"/>
  <c r="L20" i="8" s="1"/>
  <c r="F112" i="20"/>
  <c r="F87" i="20"/>
  <c r="F51" i="20"/>
  <c r="F48" i="20"/>
  <c r="L37" i="20"/>
  <c r="L21" i="20"/>
  <c r="L30" i="20" s="1"/>
  <c r="F41" i="20"/>
  <c r="G41" i="20" s="1"/>
  <c r="F42" i="20"/>
  <c r="F43" i="20"/>
  <c r="F44" i="20"/>
  <c r="F45" i="20"/>
  <c r="F46" i="20"/>
  <c r="F47" i="20"/>
  <c r="F49" i="20"/>
  <c r="F50" i="20"/>
  <c r="F52" i="20"/>
  <c r="F53" i="20"/>
  <c r="F54" i="20"/>
  <c r="G54" i="20" s="1"/>
  <c r="F55" i="20"/>
  <c r="G55" i="20" s="1"/>
  <c r="F56" i="20"/>
  <c r="F57" i="20"/>
  <c r="F58" i="20"/>
  <c r="F59" i="20"/>
  <c r="F60" i="20"/>
  <c r="F61" i="20"/>
  <c r="F62" i="20"/>
  <c r="F63" i="20"/>
  <c r="F64" i="20"/>
  <c r="F65" i="20"/>
  <c r="F66" i="20"/>
  <c r="G66" i="20" s="1"/>
  <c r="F67" i="20"/>
  <c r="G67" i="20" s="1"/>
  <c r="F68" i="20"/>
  <c r="F69" i="20"/>
  <c r="F70" i="20"/>
  <c r="F71" i="20"/>
  <c r="F72" i="20"/>
  <c r="F73" i="20"/>
  <c r="F74" i="20"/>
  <c r="F75" i="20"/>
  <c r="F78" i="20"/>
  <c r="F79" i="20"/>
  <c r="F80" i="20"/>
  <c r="G80" i="20" s="1"/>
  <c r="F81" i="20"/>
  <c r="G81" i="20" s="1"/>
  <c r="F82" i="20"/>
  <c r="F83" i="20"/>
  <c r="F84" i="20"/>
  <c r="F85" i="20"/>
  <c r="F86" i="20"/>
  <c r="F88" i="20"/>
  <c r="F89" i="20"/>
  <c r="F90" i="20"/>
  <c r="F91" i="20"/>
  <c r="F92" i="20"/>
  <c r="F93" i="20"/>
  <c r="G93" i="20" s="1"/>
  <c r="F94" i="20"/>
  <c r="G94" i="20" s="1"/>
  <c r="F95" i="20"/>
  <c r="F96" i="20"/>
  <c r="F97" i="20"/>
  <c r="F98" i="20"/>
  <c r="F99" i="20"/>
  <c r="F100" i="20"/>
  <c r="F101" i="20"/>
  <c r="L16" i="8" s="1"/>
  <c r="F102" i="20"/>
  <c r="F103" i="20"/>
  <c r="F104" i="20"/>
  <c r="F105" i="20"/>
  <c r="G105" i="20" s="1"/>
  <c r="F106" i="20"/>
  <c r="G106" i="20" s="1"/>
  <c r="F107" i="20"/>
  <c r="F108" i="20"/>
  <c r="F109" i="20"/>
  <c r="F110" i="20"/>
  <c r="F111" i="20"/>
  <c r="F113" i="20"/>
  <c r="F114" i="20"/>
  <c r="F115" i="20"/>
  <c r="F116" i="20"/>
  <c r="F117" i="20"/>
  <c r="F118" i="20"/>
  <c r="G118" i="20" s="1"/>
  <c r="F119" i="20"/>
  <c r="G119" i="20" s="1"/>
  <c r="F120" i="20"/>
  <c r="F121" i="20"/>
  <c r="F122" i="20"/>
  <c r="F123" i="20"/>
  <c r="F125" i="20"/>
  <c r="F126" i="20"/>
  <c r="F127" i="20"/>
  <c r="F128" i="20"/>
  <c r="F129" i="20"/>
  <c r="F130" i="20"/>
  <c r="F131" i="20"/>
  <c r="G131" i="20" s="1"/>
  <c r="F132" i="20"/>
  <c r="G132" i="20" s="1"/>
  <c r="F133" i="20"/>
  <c r="F134" i="20"/>
  <c r="F135" i="20"/>
  <c r="F136" i="20"/>
  <c r="F137" i="20"/>
  <c r="F138" i="20"/>
  <c r="F139" i="20"/>
  <c r="F140" i="20"/>
  <c r="F141" i="20"/>
  <c r="F142" i="20"/>
  <c r="F143" i="20"/>
  <c r="G143" i="20" s="1"/>
  <c r="F144" i="20"/>
  <c r="G144" i="20" s="1"/>
  <c r="F145" i="20"/>
  <c r="F146" i="20"/>
  <c r="F147" i="20"/>
  <c r="F148" i="20"/>
  <c r="F149" i="20"/>
  <c r="F150" i="20"/>
  <c r="F151" i="20"/>
  <c r="F152" i="20"/>
  <c r="F153" i="20"/>
  <c r="F154" i="20"/>
  <c r="F155" i="20"/>
  <c r="G155" i="20" s="1"/>
  <c r="F156" i="20"/>
  <c r="F157" i="20"/>
  <c r="F158" i="20"/>
  <c r="F159" i="20"/>
  <c r="F160" i="20"/>
  <c r="F161" i="20"/>
  <c r="F162" i="20"/>
  <c r="F163" i="20"/>
  <c r="F40" i="20"/>
  <c r="E5" i="27"/>
  <c r="F5" i="27" s="1"/>
  <c r="G5" i="27" s="1"/>
  <c r="H5" i="27" s="1"/>
  <c r="I5" i="27" s="1"/>
  <c r="J7" i="27"/>
  <c r="J8" i="27"/>
  <c r="J10" i="27"/>
  <c r="D11" i="27"/>
  <c r="E11" i="27"/>
  <c r="F11" i="27"/>
  <c r="G11" i="27"/>
  <c r="H11" i="27"/>
  <c r="I11" i="27"/>
  <c r="E14" i="27"/>
  <c r="F14" i="27" s="1"/>
  <c r="G14" i="27" s="1"/>
  <c r="H14" i="27" s="1"/>
  <c r="I14" i="27" s="1"/>
  <c r="D24" i="27"/>
  <c r="D17" i="27" s="1"/>
  <c r="E24" i="27"/>
  <c r="F24" i="27"/>
  <c r="F17" i="27" s="1"/>
  <c r="G24" i="27"/>
  <c r="G17" i="27" s="1"/>
  <c r="H24" i="27"/>
  <c r="I24" i="27"/>
  <c r="I17" i="27" s="1"/>
  <c r="D25" i="27"/>
  <c r="E25" i="27"/>
  <c r="E18" i="27" s="1"/>
  <c r="F25" i="27"/>
  <c r="F18" i="27" s="1"/>
  <c r="G25" i="27"/>
  <c r="G18" i="27" s="1"/>
  <c r="H25" i="27"/>
  <c r="H18" i="27" s="1"/>
  <c r="I25" i="27"/>
  <c r="I18" i="27" s="1"/>
  <c r="D31" i="27"/>
  <c r="D38" i="27" s="1"/>
  <c r="E31" i="27"/>
  <c r="F31" i="27"/>
  <c r="G31" i="27"/>
  <c r="G38" i="27" s="1"/>
  <c r="H31" i="27"/>
  <c r="H38" i="27" s="1"/>
  <c r="I31" i="27"/>
  <c r="I38" i="27" s="1"/>
  <c r="D32" i="27"/>
  <c r="D39" i="27" s="1"/>
  <c r="E32" i="27"/>
  <c r="E39" i="27" s="1"/>
  <c r="F32" i="27"/>
  <c r="F39" i="27" s="1"/>
  <c r="G32" i="27"/>
  <c r="G39" i="27" s="1"/>
  <c r="H32" i="27"/>
  <c r="H39" i="27" s="1"/>
  <c r="I32" i="27"/>
  <c r="I39" i="27" s="1"/>
  <c r="E45" i="27"/>
  <c r="F45" i="27"/>
  <c r="G45" i="27"/>
  <c r="H45" i="27"/>
  <c r="I45" i="27"/>
  <c r="E46" i="27"/>
  <c r="F46" i="27"/>
  <c r="G46" i="27"/>
  <c r="H46" i="27"/>
  <c r="I46" i="27"/>
  <c r="E52" i="27"/>
  <c r="F52" i="27" s="1"/>
  <c r="G52" i="27" s="1"/>
  <c r="H52" i="27" s="1"/>
  <c r="I52" i="27" s="1"/>
  <c r="D54" i="27"/>
  <c r="E54" i="27"/>
  <c r="F54" i="27"/>
  <c r="G54" i="27"/>
  <c r="H54" i="27"/>
  <c r="I54" i="27"/>
  <c r="D55" i="27"/>
  <c r="E55" i="27"/>
  <c r="F55" i="27"/>
  <c r="G55" i="27"/>
  <c r="H55" i="27"/>
  <c r="I55" i="27"/>
  <c r="D57" i="27"/>
  <c r="E57" i="27"/>
  <c r="F57" i="27"/>
  <c r="G57" i="27"/>
  <c r="H57" i="27"/>
  <c r="I57" i="27"/>
  <c r="D79" i="27"/>
  <c r="E3" i="25"/>
  <c r="F3" i="25" s="1"/>
  <c r="F14" i="25" s="1"/>
  <c r="D14" i="25"/>
  <c r="E14" i="25"/>
  <c r="D25" i="25"/>
  <c r="E25" i="25"/>
  <c r="F25" i="25"/>
  <c r="G25" i="25"/>
  <c r="H25" i="25"/>
  <c r="I25" i="25"/>
  <c r="D26" i="25"/>
  <c r="E26" i="25"/>
  <c r="F26" i="25"/>
  <c r="G26" i="25"/>
  <c r="H26" i="25"/>
  <c r="I26" i="25"/>
  <c r="D30" i="25"/>
  <c r="E30" i="25"/>
  <c r="F30" i="25"/>
  <c r="G30" i="25"/>
  <c r="H30" i="25"/>
  <c r="I30" i="25"/>
  <c r="D31" i="25"/>
  <c r="E31" i="25"/>
  <c r="F31" i="25"/>
  <c r="G31" i="25"/>
  <c r="H31" i="25"/>
  <c r="I31" i="25"/>
  <c r="D40" i="25"/>
  <c r="E40" i="25"/>
  <c r="F40" i="25"/>
  <c r="G40" i="25"/>
  <c r="H40" i="25"/>
  <c r="I40" i="25"/>
  <c r="D41" i="25"/>
  <c r="E41" i="25"/>
  <c r="F41" i="25"/>
  <c r="G41" i="25"/>
  <c r="H41" i="25"/>
  <c r="I41" i="25"/>
  <c r="G33" i="20" l="1"/>
  <c r="G32" i="20"/>
  <c r="G8" i="20"/>
  <c r="L19" i="8"/>
  <c r="G12" i="20"/>
  <c r="M15" i="8" s="1"/>
  <c r="L15" i="8"/>
  <c r="G17" i="20"/>
  <c r="G156" i="20"/>
  <c r="G34" i="20"/>
  <c r="G26" i="20"/>
  <c r="L18" i="8"/>
  <c r="G27" i="20"/>
  <c r="G38" i="20"/>
  <c r="J35" i="25"/>
  <c r="I19" i="27"/>
  <c r="I20" i="27" s="1"/>
  <c r="I21" i="27" s="1"/>
  <c r="H37" i="25"/>
  <c r="J37" i="25" s="1"/>
  <c r="J11" i="27"/>
  <c r="J20" i="25"/>
  <c r="J22" i="25"/>
  <c r="G40" i="27"/>
  <c r="G41" i="27" s="1"/>
  <c r="G42" i="27" s="1"/>
  <c r="I40" i="27"/>
  <c r="I41" i="27" s="1"/>
  <c r="I42" i="27" s="1"/>
  <c r="H40" i="27"/>
  <c r="H41" i="27" s="1"/>
  <c r="H42" i="27" s="1"/>
  <c r="G19" i="27"/>
  <c r="G20" i="27" s="1"/>
  <c r="G21" i="27" s="1"/>
  <c r="G47" i="27"/>
  <c r="G63" i="27" s="1"/>
  <c r="F33" i="27"/>
  <c r="F61" i="27" s="1"/>
  <c r="F38" i="27"/>
  <c r="E33" i="27"/>
  <c r="E34" i="27" s="1"/>
  <c r="E35" i="27" s="1"/>
  <c r="E38" i="27"/>
  <c r="E32" i="25"/>
  <c r="D40" i="27"/>
  <c r="F19" i="27"/>
  <c r="F20" i="27" s="1"/>
  <c r="F21" i="27" s="1"/>
  <c r="E26" i="27"/>
  <c r="E60" i="27" s="1"/>
  <c r="E17" i="27"/>
  <c r="D26" i="27"/>
  <c r="D60" i="27" s="1"/>
  <c r="D18" i="27"/>
  <c r="H26" i="27"/>
  <c r="H27" i="27" s="1"/>
  <c r="H28" i="27" s="1"/>
  <c r="H17" i="27"/>
  <c r="E42" i="25"/>
  <c r="H42" i="25"/>
  <c r="D47" i="27"/>
  <c r="I42" i="25"/>
  <c r="G58" i="27"/>
  <c r="G68" i="27" s="1"/>
  <c r="F58" i="27"/>
  <c r="F68" i="27" s="1"/>
  <c r="D32" i="25"/>
  <c r="E47" i="27"/>
  <c r="E63" i="27" s="1"/>
  <c r="E58" i="27"/>
  <c r="E69" i="27" s="1"/>
  <c r="D33" i="27"/>
  <c r="D61" i="27" s="1"/>
  <c r="H58" i="27"/>
  <c r="H69" i="27" s="1"/>
  <c r="H32" i="25"/>
  <c r="J57" i="27"/>
  <c r="F42" i="25"/>
  <c r="H47" i="27"/>
  <c r="H63" i="27" s="1"/>
  <c r="H27" i="25"/>
  <c r="D42" i="25"/>
  <c r="I58" i="27"/>
  <c r="I68" i="27" s="1"/>
  <c r="J30" i="25"/>
  <c r="I27" i="25"/>
  <c r="F27" i="25"/>
  <c r="D27" i="25"/>
  <c r="I47" i="27"/>
  <c r="I48" i="27" s="1"/>
  <c r="I49" i="27" s="1"/>
  <c r="D58" i="27"/>
  <c r="G33" i="27"/>
  <c r="G61" i="27" s="1"/>
  <c r="G28" i="20"/>
  <c r="G35" i="20"/>
  <c r="G36" i="20"/>
  <c r="G37" i="20"/>
  <c r="G29" i="20"/>
  <c r="G23" i="20"/>
  <c r="G30" i="20"/>
  <c r="G16" i="20"/>
  <c r="G24" i="20"/>
  <c r="G31" i="20"/>
  <c r="G22" i="20"/>
  <c r="G25" i="20"/>
  <c r="G39" i="20"/>
  <c r="G21" i="20"/>
  <c r="G157" i="20"/>
  <c r="G145" i="20"/>
  <c r="G133" i="20"/>
  <c r="G120" i="20"/>
  <c r="G107" i="20"/>
  <c r="G95" i="20"/>
  <c r="G82" i="20"/>
  <c r="G68" i="20"/>
  <c r="G56" i="20"/>
  <c r="B17" i="20"/>
  <c r="B18" i="20" s="1"/>
  <c r="B19" i="20" s="1"/>
  <c r="B20" i="20" s="1"/>
  <c r="B21" i="20" s="1"/>
  <c r="B22" i="20" s="1"/>
  <c r="B23" i="20" s="1"/>
  <c r="B24" i="20" s="1"/>
  <c r="B25" i="20" s="1"/>
  <c r="B26" i="20" s="1"/>
  <c r="B27" i="20" s="1"/>
  <c r="B28" i="20" s="1"/>
  <c r="B29" i="20" s="1"/>
  <c r="B30" i="20" s="1"/>
  <c r="B31" i="20" s="1"/>
  <c r="B32" i="20" s="1"/>
  <c r="B33" i="20" s="1"/>
  <c r="B34" i="20" s="1"/>
  <c r="B35" i="20" s="1"/>
  <c r="B36" i="20" s="1"/>
  <c r="B37" i="20" s="1"/>
  <c r="B38" i="20" s="1"/>
  <c r="B39" i="20" s="1"/>
  <c r="G14" i="20"/>
  <c r="M17" i="8" s="1"/>
  <c r="G18" i="20"/>
  <c r="G19" i="20"/>
  <c r="G20" i="20"/>
  <c r="G158" i="20"/>
  <c r="G146" i="20"/>
  <c r="G134" i="20"/>
  <c r="G121" i="20"/>
  <c r="G108" i="20"/>
  <c r="G96" i="20"/>
  <c r="G83" i="20"/>
  <c r="G69" i="20"/>
  <c r="G57" i="20"/>
  <c r="G13" i="20"/>
  <c r="G15" i="20"/>
  <c r="G9" i="20"/>
  <c r="G7" i="20"/>
  <c r="M14" i="8" s="1"/>
  <c r="G10" i="20"/>
  <c r="G6" i="20"/>
  <c r="G124" i="20"/>
  <c r="F11" i="20"/>
  <c r="G160" i="20"/>
  <c r="G148" i="20"/>
  <c r="G136" i="20"/>
  <c r="G123" i="20"/>
  <c r="G110" i="20"/>
  <c r="G98" i="20"/>
  <c r="G76" i="20"/>
  <c r="M20" i="8" s="1"/>
  <c r="G159" i="20"/>
  <c r="G147" i="20"/>
  <c r="G135" i="20"/>
  <c r="G122" i="20"/>
  <c r="G109" i="20"/>
  <c r="G97" i="20"/>
  <c r="G84" i="20"/>
  <c r="G70" i="20"/>
  <c r="G58" i="20"/>
  <c r="G44" i="20"/>
  <c r="G77" i="20"/>
  <c r="M21" i="8" s="1"/>
  <c r="G85" i="20"/>
  <c r="G71" i="20"/>
  <c r="G59" i="20"/>
  <c r="G112" i="20"/>
  <c r="G87" i="20"/>
  <c r="G162" i="20"/>
  <c r="G138" i="20"/>
  <c r="G100" i="20"/>
  <c r="G73" i="20"/>
  <c r="G47" i="20"/>
  <c r="G150" i="20"/>
  <c r="G126" i="20"/>
  <c r="G113" i="20"/>
  <c r="G88" i="20"/>
  <c r="G61" i="20"/>
  <c r="G161" i="20"/>
  <c r="G149" i="20"/>
  <c r="G137" i="20"/>
  <c r="G125" i="20"/>
  <c r="G111" i="20"/>
  <c r="G99" i="20"/>
  <c r="G86" i="20"/>
  <c r="G72" i="20"/>
  <c r="G60" i="20"/>
  <c r="G46" i="20"/>
  <c r="G153" i="20"/>
  <c r="G141" i="20"/>
  <c r="G129" i="20"/>
  <c r="G116" i="20"/>
  <c r="G103" i="20"/>
  <c r="G64" i="20"/>
  <c r="G154" i="20"/>
  <c r="G78" i="20"/>
  <c r="G142" i="20"/>
  <c r="G91" i="20"/>
  <c r="G48" i="20"/>
  <c r="G52" i="20"/>
  <c r="G49" i="20"/>
  <c r="G130" i="20"/>
  <c r="G117" i="20"/>
  <c r="G104" i="20"/>
  <c r="G92" i="20"/>
  <c r="G79" i="20"/>
  <c r="G65" i="20"/>
  <c r="G53" i="20"/>
  <c r="G43" i="20"/>
  <c r="G42" i="20"/>
  <c r="G45" i="20"/>
  <c r="G40" i="20"/>
  <c r="G152" i="20"/>
  <c r="G140" i="20"/>
  <c r="G128" i="20"/>
  <c r="G115" i="20"/>
  <c r="G102" i="20"/>
  <c r="G90" i="20"/>
  <c r="G75" i="20"/>
  <c r="G63" i="20"/>
  <c r="G51" i="20"/>
  <c r="G163" i="20"/>
  <c r="G151" i="20"/>
  <c r="G139" i="20"/>
  <c r="G127" i="20"/>
  <c r="G114" i="20"/>
  <c r="G101" i="20"/>
  <c r="M16" i="8" s="1"/>
  <c r="G89" i="20"/>
  <c r="G74" i="20"/>
  <c r="G62" i="20"/>
  <c r="G50" i="20"/>
  <c r="L24" i="20"/>
  <c r="L29" i="20"/>
  <c r="L25" i="20"/>
  <c r="L26" i="20"/>
  <c r="G42" i="25"/>
  <c r="G27" i="25"/>
  <c r="G3" i="25"/>
  <c r="F47" i="27"/>
  <c r="F63" i="27" s="1"/>
  <c r="J54" i="27"/>
  <c r="I32" i="25"/>
  <c r="J25" i="25"/>
  <c r="J55" i="27"/>
  <c r="J40" i="25"/>
  <c r="E27" i="25"/>
  <c r="I33" i="27"/>
  <c r="I61" i="27" s="1"/>
  <c r="G26" i="27"/>
  <c r="G60" i="27" s="1"/>
  <c r="G32" i="25"/>
  <c r="H33" i="27"/>
  <c r="H61" i="27" s="1"/>
  <c r="F26" i="27"/>
  <c r="F60" i="27" s="1"/>
  <c r="F32" i="25"/>
  <c r="I26" i="27"/>
  <c r="I60" i="27" s="1"/>
  <c r="M13" i="8" l="1"/>
  <c r="M18" i="8"/>
  <c r="M19" i="8"/>
  <c r="G11" i="20"/>
  <c r="F69" i="27"/>
  <c r="F71" i="27"/>
  <c r="E27" i="27"/>
  <c r="E28" i="27" s="1"/>
  <c r="H62" i="27"/>
  <c r="D27" i="27"/>
  <c r="D28" i="27" s="1"/>
  <c r="E16" i="25"/>
  <c r="E5" i="25" s="1"/>
  <c r="F59" i="27"/>
  <c r="H16" i="25"/>
  <c r="H5" i="25" s="1"/>
  <c r="D41" i="27"/>
  <c r="D42" i="27" s="1"/>
  <c r="D62" i="27"/>
  <c r="F40" i="27"/>
  <c r="F41" i="27" s="1"/>
  <c r="F42" i="27" s="1"/>
  <c r="D68" i="27"/>
  <c r="D71" i="27"/>
  <c r="D70" i="27"/>
  <c r="D69" i="27"/>
  <c r="F16" i="25"/>
  <c r="F5" i="25" s="1"/>
  <c r="D19" i="27"/>
  <c r="D20" i="27" s="1"/>
  <c r="D21" i="27" s="1"/>
  <c r="I16" i="25"/>
  <c r="I5" i="25" s="1"/>
  <c r="G62" i="27"/>
  <c r="G64" i="27" s="1"/>
  <c r="G66" i="27" s="1"/>
  <c r="H19" i="27"/>
  <c r="H20" i="27" s="1"/>
  <c r="H21" i="27" s="1"/>
  <c r="D16" i="25"/>
  <c r="D5" i="25" s="1"/>
  <c r="G59" i="27"/>
  <c r="E19" i="27"/>
  <c r="E20" i="27" s="1"/>
  <c r="E21" i="27" s="1"/>
  <c r="I59" i="27"/>
  <c r="G16" i="25"/>
  <c r="G5" i="25" s="1"/>
  <c r="I62" i="27"/>
  <c r="G71" i="27"/>
  <c r="F34" i="27"/>
  <c r="F35" i="27" s="1"/>
  <c r="E40" i="27"/>
  <c r="E41" i="27" s="1"/>
  <c r="E42" i="27" s="1"/>
  <c r="E61" i="27"/>
  <c r="J61" i="27" s="1"/>
  <c r="G48" i="27"/>
  <c r="G49" i="27" s="1"/>
  <c r="G70" i="27"/>
  <c r="D63" i="27"/>
  <c r="D48" i="27"/>
  <c r="D49" i="27" s="1"/>
  <c r="F70" i="27"/>
  <c r="E48" i="27"/>
  <c r="E49" i="27" s="1"/>
  <c r="I71" i="27"/>
  <c r="H60" i="27"/>
  <c r="E70" i="27"/>
  <c r="E68" i="27"/>
  <c r="G34" i="27"/>
  <c r="G35" i="27" s="1"/>
  <c r="J32" i="25"/>
  <c r="E71" i="27"/>
  <c r="G69" i="27"/>
  <c r="H48" i="27"/>
  <c r="H49" i="27" s="1"/>
  <c r="F27" i="27"/>
  <c r="F28" i="27" s="1"/>
  <c r="J58" i="27"/>
  <c r="H70" i="27"/>
  <c r="H71" i="27"/>
  <c r="H68" i="27"/>
  <c r="D34" i="27"/>
  <c r="D35" i="27" s="1"/>
  <c r="I63" i="27"/>
  <c r="I69" i="27"/>
  <c r="H34" i="27"/>
  <c r="H35" i="27" s="1"/>
  <c r="I70" i="27"/>
  <c r="J42" i="25"/>
  <c r="B40" i="20"/>
  <c r="B41" i="20" s="1"/>
  <c r="B42" i="20" s="1"/>
  <c r="B43" i="20" s="1"/>
  <c r="B44" i="20" s="1"/>
  <c r="B45" i="20" s="1"/>
  <c r="B46" i="20" s="1"/>
  <c r="B47" i="20" s="1"/>
  <c r="B48" i="20" s="1"/>
  <c r="B49" i="20" s="1"/>
  <c r="B50" i="20" s="1"/>
  <c r="B51" i="20" s="1"/>
  <c r="B52" i="20" s="1"/>
  <c r="B53" i="20" s="1"/>
  <c r="B54" i="20" s="1"/>
  <c r="B55" i="20" s="1"/>
  <c r="B56" i="20" s="1"/>
  <c r="B57" i="20" s="1"/>
  <c r="B58" i="20" s="1"/>
  <c r="B59" i="20" s="1"/>
  <c r="B60" i="20" s="1"/>
  <c r="B61" i="20" s="1"/>
  <c r="B62" i="20" s="1"/>
  <c r="B63" i="20" s="1"/>
  <c r="B64" i="20" s="1"/>
  <c r="B65" i="20" s="1"/>
  <c r="B66" i="20" s="1"/>
  <c r="B67" i="20" s="1"/>
  <c r="B68" i="20" s="1"/>
  <c r="B69" i="20" s="1"/>
  <c r="B70" i="20" s="1"/>
  <c r="B71" i="20" s="1"/>
  <c r="B72" i="20" s="1"/>
  <c r="B73" i="20" s="1"/>
  <c r="B74" i="20" s="1"/>
  <c r="B75" i="20" s="1"/>
  <c r="B76" i="20" s="1"/>
  <c r="B77" i="20" s="1"/>
  <c r="B78" i="20" s="1"/>
  <c r="B79" i="20" s="1"/>
  <c r="B80" i="20" s="1"/>
  <c r="B81" i="20" s="1"/>
  <c r="B82" i="20" s="1"/>
  <c r="B83" i="20" s="1"/>
  <c r="B84" i="20" s="1"/>
  <c r="B85" i="20" s="1"/>
  <c r="B86" i="20" s="1"/>
  <c r="B87" i="20" s="1"/>
  <c r="B88" i="20" s="1"/>
  <c r="B89" i="20" s="1"/>
  <c r="B90" i="20" s="1"/>
  <c r="B91" i="20" s="1"/>
  <c r="B92" i="20" s="1"/>
  <c r="B93" i="20" s="1"/>
  <c r="B94" i="20" s="1"/>
  <c r="B95" i="20" s="1"/>
  <c r="B96" i="20" s="1"/>
  <c r="B97" i="20" s="1"/>
  <c r="B98" i="20" s="1"/>
  <c r="B99" i="20" s="1"/>
  <c r="B100" i="20" s="1"/>
  <c r="B101" i="20" s="1"/>
  <c r="B102" i="20" s="1"/>
  <c r="B103" i="20" s="1"/>
  <c r="B104" i="20" s="1"/>
  <c r="B105" i="20" s="1"/>
  <c r="B106" i="20" s="1"/>
  <c r="B107" i="20" s="1"/>
  <c r="B108" i="20" s="1"/>
  <c r="B109" i="20" s="1"/>
  <c r="B110" i="20" s="1"/>
  <c r="B111" i="20" s="1"/>
  <c r="B112" i="20" s="1"/>
  <c r="B113" i="20" s="1"/>
  <c r="B114" i="20" s="1"/>
  <c r="B115" i="20" s="1"/>
  <c r="B116" i="20" s="1"/>
  <c r="B117" i="20" s="1"/>
  <c r="B118" i="20" s="1"/>
  <c r="B119" i="20" s="1"/>
  <c r="B120" i="20" s="1"/>
  <c r="B121" i="20" s="1"/>
  <c r="B122" i="20" s="1"/>
  <c r="B123" i="20" s="1"/>
  <c r="B124" i="20" s="1"/>
  <c r="B125" i="20" s="1"/>
  <c r="B126" i="20" s="1"/>
  <c r="B127" i="20" s="1"/>
  <c r="B128" i="20" s="1"/>
  <c r="B129" i="20" s="1"/>
  <c r="B130" i="20" s="1"/>
  <c r="B131" i="20" s="1"/>
  <c r="B132" i="20" s="1"/>
  <c r="B133" i="20" s="1"/>
  <c r="B134" i="20" s="1"/>
  <c r="B135" i="20" s="1"/>
  <c r="B136" i="20" s="1"/>
  <c r="B137" i="20" s="1"/>
  <c r="B138" i="20" s="1"/>
  <c r="B139" i="20" s="1"/>
  <c r="B140" i="20" s="1"/>
  <c r="B141" i="20" s="1"/>
  <c r="B142" i="20" s="1"/>
  <c r="B143" i="20" s="1"/>
  <c r="B144" i="20" s="1"/>
  <c r="B145" i="20" s="1"/>
  <c r="B146" i="20" s="1"/>
  <c r="B147" i="20" s="1"/>
  <c r="B148" i="20" s="1"/>
  <c r="B149" i="20" s="1"/>
  <c r="B150" i="20" s="1"/>
  <c r="B151" i="20" s="1"/>
  <c r="B152" i="20" s="1"/>
  <c r="B153" i="20" s="1"/>
  <c r="B154" i="20" s="1"/>
  <c r="B155" i="20" s="1"/>
  <c r="B156" i="20" s="1"/>
  <c r="B157" i="20" s="1"/>
  <c r="B158" i="20" s="1"/>
  <c r="B159" i="20" s="1"/>
  <c r="B160" i="20" s="1"/>
  <c r="B161" i="20" s="1"/>
  <c r="B162" i="20" s="1"/>
  <c r="B163" i="20" s="1"/>
  <c r="L32" i="20"/>
  <c r="G14" i="25"/>
  <c r="H3" i="25"/>
  <c r="I27" i="27"/>
  <c r="I28" i="27" s="1"/>
  <c r="G27" i="27"/>
  <c r="G28" i="27" s="1"/>
  <c r="I34" i="27"/>
  <c r="I35" i="27" s="1"/>
  <c r="J27" i="25"/>
  <c r="F48" i="27"/>
  <c r="F49" i="27" s="1"/>
  <c r="H64" i="27" l="1"/>
  <c r="H65" i="27" s="1"/>
  <c r="F74" i="27"/>
  <c r="F10" i="25" s="1"/>
  <c r="H59" i="27"/>
  <c r="H3" i="20"/>
  <c r="J63" i="27"/>
  <c r="D64" i="27"/>
  <c r="D66" i="27" s="1"/>
  <c r="E59" i="27"/>
  <c r="D74" i="27"/>
  <c r="D10" i="25" s="1"/>
  <c r="F62" i="27"/>
  <c r="F64" i="27" s="1"/>
  <c r="F65" i="27" s="1"/>
  <c r="E62" i="27"/>
  <c r="E64" i="27" s="1"/>
  <c r="E6" i="25" s="1"/>
  <c r="D59" i="27"/>
  <c r="J16" i="25"/>
  <c r="G74" i="27"/>
  <c r="G10" i="25" s="1"/>
  <c r="G65" i="27"/>
  <c r="D6" i="25"/>
  <c r="D7" i="25" s="1"/>
  <c r="G6" i="25"/>
  <c r="I64" i="27"/>
  <c r="I66" i="27" s="1"/>
  <c r="I67" i="27" s="1"/>
  <c r="E74" i="27"/>
  <c r="E10" i="25" s="1"/>
  <c r="H74" i="27"/>
  <c r="H10" i="25" s="1"/>
  <c r="J60" i="27"/>
  <c r="I74" i="27"/>
  <c r="I10" i="25" s="1"/>
  <c r="J5" i="25"/>
  <c r="H6" i="25"/>
  <c r="H66" i="27"/>
  <c r="H67" i="27" s="1"/>
  <c r="L35" i="20"/>
  <c r="L34" i="20"/>
  <c r="I3" i="25"/>
  <c r="I14" i="25" s="1"/>
  <c r="H14" i="25"/>
  <c r="E7" i="25"/>
  <c r="E8" i="25" s="1"/>
  <c r="D67" i="27"/>
  <c r="G67" i="27"/>
  <c r="G7" i="25"/>
  <c r="G8" i="25" s="1"/>
  <c r="M27" i="10"/>
  <c r="R27" i="12"/>
  <c r="R28" i="12"/>
  <c r="R29" i="12"/>
  <c r="S27" i="12"/>
  <c r="S28" i="12"/>
  <c r="S29" i="12"/>
  <c r="M65" i="9"/>
  <c r="M74" i="8"/>
  <c r="M13" i="11"/>
  <c r="M41" i="9"/>
  <c r="D23" i="7"/>
  <c r="B14" i="12"/>
  <c r="B15" i="12" s="1"/>
  <c r="B16" i="12" s="1"/>
  <c r="B17" i="12" s="1"/>
  <c r="B18" i="12" s="1"/>
  <c r="B19" i="12" s="1"/>
  <c r="B20" i="12" s="1"/>
  <c r="B21" i="12" s="1"/>
  <c r="B22" i="12" s="1"/>
  <c r="B23" i="12" s="1"/>
  <c r="B24" i="12" s="1"/>
  <c r="B25" i="12" s="1"/>
  <c r="B26" i="12" s="1"/>
  <c r="B27" i="12" s="1"/>
  <c r="B28" i="12" s="1"/>
  <c r="B29" i="12" s="1"/>
  <c r="B30" i="12" s="1"/>
  <c r="B31" i="12" s="1"/>
  <c r="B32" i="12" s="1"/>
  <c r="B33" i="12" s="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4" i="12" s="1"/>
  <c r="B55"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M21" i="11"/>
  <c r="M17" i="11"/>
  <c r="D20" i="7"/>
  <c r="M38" i="8"/>
  <c r="C17" i="12" s="1"/>
  <c r="D4" i="7"/>
  <c r="D8" i="7" s="1"/>
  <c r="R85" i="12" l="1"/>
  <c r="S85" i="12"/>
  <c r="F66" i="27"/>
  <c r="F7" i="25" s="1"/>
  <c r="F8" i="25" s="1"/>
  <c r="F6" i="25"/>
  <c r="W27" i="12"/>
  <c r="W29" i="12"/>
  <c r="W28" i="12"/>
  <c r="M24" i="8"/>
  <c r="D65" i="27"/>
  <c r="D75" i="27"/>
  <c r="D80" i="27" s="1"/>
  <c r="J59" i="27"/>
  <c r="D11" i="25"/>
  <c r="D12" i="25" s="1"/>
  <c r="E65" i="27"/>
  <c r="E66" i="27"/>
  <c r="E67" i="27" s="1"/>
  <c r="I6" i="25"/>
  <c r="J64" i="27"/>
  <c r="J65" i="27" s="1"/>
  <c r="G75" i="27"/>
  <c r="G76" i="27" s="1"/>
  <c r="J62" i="27"/>
  <c r="I7" i="25"/>
  <c r="I8" i="25" s="1"/>
  <c r="I65" i="27"/>
  <c r="J74" i="27"/>
  <c r="J10" i="25" s="1"/>
  <c r="I75" i="27"/>
  <c r="I78" i="27" s="1"/>
  <c r="I79" i="27" s="1"/>
  <c r="I80" i="27" s="1"/>
  <c r="I81" i="27" s="1"/>
  <c r="H75" i="27"/>
  <c r="H11" i="25" s="1"/>
  <c r="H12" i="25" s="1"/>
  <c r="H7" i="25"/>
  <c r="H8" i="25" s="1"/>
  <c r="L38" i="20"/>
  <c r="L41" i="20" s="1"/>
  <c r="L40" i="20"/>
  <c r="F75" i="27"/>
  <c r="F67" i="27"/>
  <c r="D7" i="7"/>
  <c r="D9" i="7"/>
  <c r="D12" i="7"/>
  <c r="D13" i="7"/>
  <c r="J6" i="25" l="1"/>
  <c r="E75" i="27"/>
  <c r="E76" i="27" s="1"/>
  <c r="D76" i="27"/>
  <c r="J66" i="27"/>
  <c r="J67" i="27" s="1"/>
  <c r="G11" i="25"/>
  <c r="G12" i="25" s="1"/>
  <c r="G78" i="27"/>
  <c r="G79" i="27" s="1"/>
  <c r="G80" i="27" s="1"/>
  <c r="G81" i="27" s="1"/>
  <c r="I76" i="27"/>
  <c r="I11" i="25"/>
  <c r="I12" i="25" s="1"/>
  <c r="J7" i="25"/>
  <c r="J8" i="25" s="1"/>
  <c r="J75" i="27"/>
  <c r="J76" i="27" s="1"/>
  <c r="F78" i="27"/>
  <c r="F79" i="27" s="1"/>
  <c r="F80" i="27" s="1"/>
  <c r="F81" i="27" s="1"/>
  <c r="H78" i="27"/>
  <c r="H79" i="27" s="1"/>
  <c r="H80" i="27" s="1"/>
  <c r="H81" i="27" s="1"/>
  <c r="H76" i="27"/>
  <c r="E78" i="27"/>
  <c r="E11" i="25"/>
  <c r="E12" i="25" s="1"/>
  <c r="D81" i="27"/>
  <c r="F76" i="27"/>
  <c r="F11" i="25"/>
  <c r="F12" i="25" s="1"/>
  <c r="M19" i="9"/>
  <c r="G14" i="12"/>
  <c r="G13" i="12"/>
  <c r="X13" i="12" s="1"/>
  <c r="U85" i="12"/>
  <c r="V27" i="12"/>
  <c r="V28" i="12" s="1"/>
  <c r="V29" i="12" s="1"/>
  <c r="V30" i="12" s="1"/>
  <c r="V31" i="12" s="1"/>
  <c r="V32" i="12" s="1"/>
  <c r="V33" i="12" s="1"/>
  <c r="V34" i="12" s="1"/>
  <c r="V35" i="12" s="1"/>
  <c r="V36" i="12" s="1"/>
  <c r="V37" i="12" s="1"/>
  <c r="V38" i="12" s="1"/>
  <c r="V39" i="12" s="1"/>
  <c r="V40" i="12" s="1"/>
  <c r="V41" i="12" s="1"/>
  <c r="V42" i="12" s="1"/>
  <c r="V43" i="12" s="1"/>
  <c r="V44" i="12" s="1"/>
  <c r="V45" i="12" s="1"/>
  <c r="V46" i="12" s="1"/>
  <c r="V47" i="12" s="1"/>
  <c r="V48" i="12" s="1"/>
  <c r="V49" i="12" s="1"/>
  <c r="V50" i="12" s="1"/>
  <c r="V51" i="12" s="1"/>
  <c r="V52" i="12" s="1"/>
  <c r="V53" i="12" s="1"/>
  <c r="V54" i="12" s="1"/>
  <c r="V55" i="12" s="1"/>
  <c r="V56" i="12" s="1"/>
  <c r="V57" i="12" s="1"/>
  <c r="V58" i="12" s="1"/>
  <c r="V59" i="12" s="1"/>
  <c r="V60" i="12" s="1"/>
  <c r="V61" i="12" s="1"/>
  <c r="V62" i="12" s="1"/>
  <c r="V63" i="12" s="1"/>
  <c r="V64" i="12" s="1"/>
  <c r="V65" i="12" s="1"/>
  <c r="V66" i="12" s="1"/>
  <c r="V67" i="12" s="1"/>
  <c r="V68" i="12" s="1"/>
  <c r="V69" i="12" s="1"/>
  <c r="V70" i="12" s="1"/>
  <c r="V71" i="12" s="1"/>
  <c r="V72" i="12" s="1"/>
  <c r="V73" i="12" s="1"/>
  <c r="V74" i="12" s="1"/>
  <c r="V75" i="12" s="1"/>
  <c r="V76" i="12" s="1"/>
  <c r="V77" i="12" s="1"/>
  <c r="V78" i="12" s="1"/>
  <c r="V79" i="12" s="1"/>
  <c r="V80" i="12" s="1"/>
  <c r="V81" i="12" s="1"/>
  <c r="V82" i="12" s="1"/>
  <c r="V83" i="12" s="1"/>
  <c r="V84" i="12" s="1"/>
  <c r="W85" i="12"/>
  <c r="M14" i="11"/>
  <c r="D15" i="7"/>
  <c r="D17" i="7" s="1"/>
  <c r="M66" i="9" l="1"/>
  <c r="D50" i="12"/>
  <c r="D38" i="12"/>
  <c r="D26" i="12"/>
  <c r="D61" i="12"/>
  <c r="D49" i="12"/>
  <c r="D37" i="12"/>
  <c r="D25" i="12"/>
  <c r="D41" i="12"/>
  <c r="D40" i="12"/>
  <c r="D73" i="12"/>
  <c r="D83" i="12"/>
  <c r="D71" i="12"/>
  <c r="D59" i="12"/>
  <c r="D47" i="12"/>
  <c r="D35" i="12"/>
  <c r="D23" i="12"/>
  <c r="D46" i="12"/>
  <c r="D34" i="12"/>
  <c r="D22" i="12"/>
  <c r="D77" i="12"/>
  <c r="D28" i="12"/>
  <c r="D75" i="12"/>
  <c r="D81" i="12"/>
  <c r="D69" i="12"/>
  <c r="D57" i="12"/>
  <c r="D17" i="12"/>
  <c r="G17" i="12" s="1"/>
  <c r="D29" i="12"/>
  <c r="G18" i="12"/>
  <c r="D63" i="12"/>
  <c r="D44" i="12"/>
  <c r="D32" i="12"/>
  <c r="D20" i="12"/>
  <c r="G20" i="12" s="1"/>
  <c r="D65" i="12"/>
  <c r="G19" i="12"/>
  <c r="D79" i="12"/>
  <c r="D67" i="12"/>
  <c r="D55" i="12"/>
  <c r="D43" i="12"/>
  <c r="D31" i="12"/>
  <c r="D53" i="12"/>
  <c r="D52" i="12"/>
  <c r="M23" i="10"/>
  <c r="X14" i="12"/>
  <c r="J11" i="25"/>
  <c r="J12" i="25" s="1"/>
  <c r="J78" i="27"/>
  <c r="E79" i="27"/>
  <c r="G15" i="12"/>
  <c r="G16" i="12"/>
  <c r="H13" i="12"/>
  <c r="H14" i="12" s="1"/>
  <c r="M79" i="8"/>
  <c r="D18" i="7"/>
  <c r="D21" i="7" s="1"/>
  <c r="D24" i="7" s="1"/>
  <c r="X15" i="12" l="1"/>
  <c r="X16" i="12" s="1"/>
  <c r="X17" i="12" s="1"/>
  <c r="X18" i="12" s="1"/>
  <c r="X19" i="12" s="1"/>
  <c r="X20" i="12" s="1"/>
  <c r="E78" i="12"/>
  <c r="E66" i="12"/>
  <c r="G66" i="12" s="1"/>
  <c r="E54" i="12"/>
  <c r="G54" i="12" s="1"/>
  <c r="E42" i="12"/>
  <c r="G42" i="12" s="1"/>
  <c r="E30" i="12"/>
  <c r="G30" i="12" s="1"/>
  <c r="E37" i="12"/>
  <c r="G37" i="12" s="1"/>
  <c r="E48" i="12"/>
  <c r="G48" i="12" s="1"/>
  <c r="E83" i="12"/>
  <c r="G83" i="12" s="1"/>
  <c r="E46" i="12"/>
  <c r="G46" i="12" s="1"/>
  <c r="E45" i="12"/>
  <c r="G45" i="12" s="1"/>
  <c r="E68" i="12"/>
  <c r="G68" i="12" s="1"/>
  <c r="E43" i="12"/>
  <c r="G43" i="12" s="1"/>
  <c r="E77" i="12"/>
  <c r="G77" i="12" s="1"/>
  <c r="E65" i="12"/>
  <c r="G65" i="12" s="1"/>
  <c r="E53" i="12"/>
  <c r="E41" i="12"/>
  <c r="G41" i="12" s="1"/>
  <c r="E29" i="12"/>
  <c r="G29" i="12" s="1"/>
  <c r="E73" i="12"/>
  <c r="G73" i="12" s="1"/>
  <c r="E72" i="12"/>
  <c r="G72" i="12" s="1"/>
  <c r="E24" i="12"/>
  <c r="G24" i="12" s="1"/>
  <c r="E47" i="12"/>
  <c r="G47" i="12" s="1"/>
  <c r="E58" i="12"/>
  <c r="G58" i="12" s="1"/>
  <c r="E81" i="12"/>
  <c r="G81" i="12" s="1"/>
  <c r="E44" i="12"/>
  <c r="G44" i="12" s="1"/>
  <c r="E79" i="12"/>
  <c r="E76" i="12"/>
  <c r="G76" i="12" s="1"/>
  <c r="E64" i="12"/>
  <c r="E52" i="12"/>
  <c r="G52" i="12" s="1"/>
  <c r="E40" i="12"/>
  <c r="G40" i="12" s="1"/>
  <c r="E28" i="12"/>
  <c r="G28" i="12" s="1"/>
  <c r="E21" i="12"/>
  <c r="G21" i="12" s="1"/>
  <c r="E36" i="12"/>
  <c r="G36" i="12" s="1"/>
  <c r="E35" i="12"/>
  <c r="G35" i="12" s="1"/>
  <c r="E34" i="12"/>
  <c r="G34" i="12" s="1"/>
  <c r="E33" i="12"/>
  <c r="G33" i="12" s="1"/>
  <c r="E32" i="12"/>
  <c r="G32" i="12" s="1"/>
  <c r="E67" i="12"/>
  <c r="G67" i="12" s="1"/>
  <c r="E75" i="12"/>
  <c r="G75" i="12" s="1"/>
  <c r="E63" i="12"/>
  <c r="E51" i="12"/>
  <c r="G51" i="12" s="1"/>
  <c r="E39" i="12"/>
  <c r="G39" i="12" s="1"/>
  <c r="E27" i="12"/>
  <c r="G27" i="12" s="1"/>
  <c r="E49" i="12"/>
  <c r="G49" i="12" s="1"/>
  <c r="E60" i="12"/>
  <c r="G60" i="12" s="1"/>
  <c r="E71" i="12"/>
  <c r="G71" i="12" s="1"/>
  <c r="E23" i="12"/>
  <c r="G23" i="12" s="1"/>
  <c r="E82" i="12"/>
  <c r="G82" i="12" s="1"/>
  <c r="E57" i="12"/>
  <c r="G57" i="12" s="1"/>
  <c r="E56" i="12"/>
  <c r="G56" i="12" s="1"/>
  <c r="E55" i="12"/>
  <c r="G55" i="12" s="1"/>
  <c r="E74" i="12"/>
  <c r="G74" i="12" s="1"/>
  <c r="E62" i="12"/>
  <c r="G62" i="12" s="1"/>
  <c r="E50" i="12"/>
  <c r="E38" i="12"/>
  <c r="G38" i="12" s="1"/>
  <c r="E26" i="12"/>
  <c r="G26" i="12" s="1"/>
  <c r="E61" i="12"/>
  <c r="G61" i="12" s="1"/>
  <c r="E25" i="12"/>
  <c r="G25" i="12" s="1"/>
  <c r="E84" i="12"/>
  <c r="G84" i="12" s="1"/>
  <c r="E59" i="12"/>
  <c r="G59" i="12" s="1"/>
  <c r="E70" i="12"/>
  <c r="G70" i="12" s="1"/>
  <c r="E22" i="12"/>
  <c r="G22" i="12" s="1"/>
  <c r="E69" i="12"/>
  <c r="G69" i="12" s="1"/>
  <c r="E80" i="12"/>
  <c r="G80" i="12" s="1"/>
  <c r="E31" i="12"/>
  <c r="G31" i="12" s="1"/>
  <c r="G53" i="12"/>
  <c r="G50" i="12"/>
  <c r="G79" i="12"/>
  <c r="G63" i="12"/>
  <c r="G64" i="12"/>
  <c r="G78" i="12"/>
  <c r="M34" i="10"/>
  <c r="J79" i="27"/>
  <c r="E80" i="27"/>
  <c r="H15" i="12"/>
  <c r="H16" i="12" s="1"/>
  <c r="H17" i="12" s="1"/>
  <c r="H18" i="12" s="1"/>
  <c r="H19" i="12" s="1"/>
  <c r="H20" i="12" s="1"/>
  <c r="X21" i="12" l="1"/>
  <c r="X22" i="12" s="1"/>
  <c r="X23" i="12" s="1"/>
  <c r="X24" i="12" s="1"/>
  <c r="X25" i="12" s="1"/>
  <c r="X26" i="12" s="1"/>
  <c r="X27" i="12" s="1"/>
  <c r="H21" i="12"/>
  <c r="H22" i="12" s="1"/>
  <c r="H23" i="12" s="1"/>
  <c r="H24" i="12" s="1"/>
  <c r="H25" i="12" s="1"/>
  <c r="H26" i="12" s="1"/>
  <c r="H27" i="12" s="1"/>
  <c r="H28" i="12" s="1"/>
  <c r="H29" i="12" s="1"/>
  <c r="H30" i="12" s="1"/>
  <c r="H31" i="12" s="1"/>
  <c r="H32" i="12" s="1"/>
  <c r="H33" i="12" s="1"/>
  <c r="H34" i="12" s="1"/>
  <c r="H35" i="12" s="1"/>
  <c r="H36" i="12" s="1"/>
  <c r="H37" i="12" s="1"/>
  <c r="H38" i="12" s="1"/>
  <c r="H39" i="12" s="1"/>
  <c r="H40" i="12" s="1"/>
  <c r="H41" i="12" s="1"/>
  <c r="H42" i="12" s="1"/>
  <c r="H43" i="12" s="1"/>
  <c r="H44" i="12" s="1"/>
  <c r="H45" i="12" s="1"/>
  <c r="H46" i="12" s="1"/>
  <c r="H47" i="12" s="1"/>
  <c r="H48" i="12" s="1"/>
  <c r="H49" i="12" s="1"/>
  <c r="H50" i="12" s="1"/>
  <c r="H51" i="12" s="1"/>
  <c r="H52" i="12" s="1"/>
  <c r="H53" i="12" s="1"/>
  <c r="H54" i="12" s="1"/>
  <c r="H55" i="12" s="1"/>
  <c r="H56" i="12" s="1"/>
  <c r="H57" i="12" s="1"/>
  <c r="H58" i="12" s="1"/>
  <c r="H59" i="12" s="1"/>
  <c r="H60" i="12" s="1"/>
  <c r="H61" i="12" s="1"/>
  <c r="H62" i="12" s="1"/>
  <c r="H63" i="12" s="1"/>
  <c r="H64" i="12" s="1"/>
  <c r="H65" i="12" s="1"/>
  <c r="H66" i="12" s="1"/>
  <c r="H67" i="12" s="1"/>
  <c r="H68" i="12" s="1"/>
  <c r="H69" i="12" s="1"/>
  <c r="H70" i="12" s="1"/>
  <c r="H71" i="12" s="1"/>
  <c r="H72" i="12" s="1"/>
  <c r="H73" i="12" s="1"/>
  <c r="H74" i="12" s="1"/>
  <c r="H75" i="12" s="1"/>
  <c r="H76" i="12" s="1"/>
  <c r="H77" i="12" s="1"/>
  <c r="H78" i="12" s="1"/>
  <c r="H79" i="12" s="1"/>
  <c r="H80" i="12" s="1"/>
  <c r="H81" i="12" s="1"/>
  <c r="H82" i="12" s="1"/>
  <c r="H83" i="12" s="1"/>
  <c r="H84" i="12" s="1"/>
  <c r="G85" i="12"/>
  <c r="E81" i="27"/>
  <c r="J80" i="27"/>
  <c r="J81" i="27" s="1"/>
  <c r="X28" i="12" l="1"/>
  <c r="X29" i="12" s="1"/>
  <c r="X30" i="12" l="1"/>
  <c r="X31" i="12" s="1"/>
  <c r="X32" i="12" s="1"/>
  <c r="X33" i="12" s="1"/>
  <c r="X34" i="12" s="1"/>
  <c r="X35" i="12" s="1"/>
  <c r="X36" i="12" s="1"/>
  <c r="X37" i="12" l="1"/>
  <c r="X38" i="12" s="1"/>
  <c r="X39" i="12" s="1"/>
  <c r="X40" i="12" s="1"/>
  <c r="X41" i="12" s="1"/>
  <c r="X42" i="12" s="1"/>
  <c r="X43" i="12" s="1"/>
  <c r="X44" i="12" s="1"/>
  <c r="X45" i="12" s="1"/>
  <c r="X46" i="12" s="1"/>
  <c r="X47" i="12" s="1"/>
  <c r="X48" i="12" s="1"/>
  <c r="X49" i="12" l="1"/>
  <c r="X50" i="12" s="1"/>
  <c r="X51" i="12" s="1"/>
  <c r="X52" i="12" s="1"/>
  <c r="X53" i="12" s="1"/>
  <c r="X54" i="12" s="1"/>
  <c r="X55" i="12" s="1"/>
  <c r="X56" i="12" s="1"/>
  <c r="X57" i="12" s="1"/>
  <c r="X58" i="12" s="1"/>
  <c r="X59" i="12" s="1"/>
  <c r="X60" i="12" s="1"/>
  <c r="X61" i="12" s="1"/>
  <c r="X62" i="12" s="1"/>
  <c r="X63" i="12" s="1"/>
  <c r="X64" i="12" s="1"/>
  <c r="X65" i="12" s="1"/>
  <c r="X66" i="12" s="1"/>
  <c r="X67" i="12" s="1"/>
  <c r="X68" i="12" s="1"/>
  <c r="X69" i="12" s="1"/>
  <c r="X70" i="12" s="1"/>
  <c r="X71" i="12" s="1"/>
  <c r="X72" i="12" s="1"/>
  <c r="X73" i="12" s="1"/>
  <c r="X74" i="12" s="1"/>
  <c r="X75" i="12" s="1"/>
  <c r="X76" i="12" s="1"/>
  <c r="X77" i="12" s="1"/>
  <c r="X78" i="12" s="1"/>
  <c r="X79" i="12" s="1"/>
  <c r="X80" i="12" s="1"/>
  <c r="X81" i="12" s="1"/>
  <c r="X82" i="12" s="1"/>
  <c r="X83" i="12" s="1"/>
  <c r="X84" i="12" s="1"/>
  <c r="X85" i="12" s="1"/>
  <c r="Q15" i="38" l="1"/>
  <c r="R15" i="38" l="1"/>
  <c r="Q16" i="38" l="1"/>
  <c r="S15" i="38"/>
  <c r="T15" i="38"/>
  <c r="R16" i="38" l="1"/>
  <c r="Q17" i="38" l="1"/>
  <c r="T16" i="38"/>
  <c r="S16" i="38"/>
  <c r="R17" i="38" l="1"/>
  <c r="M13" i="38" s="1"/>
  <c r="J13" i="38"/>
  <c r="Q13" i="38" s="1"/>
  <c r="S17" i="38" l="1"/>
  <c r="T17" i="38"/>
  <c r="Q19" i="38"/>
  <c r="Q18" i="38"/>
  <c r="Q20" i="38"/>
  <c r="R20" i="38" l="1"/>
  <c r="S20" i="38" s="1"/>
  <c r="R18" i="38"/>
  <c r="R19" i="38"/>
  <c r="T19" i="38" s="1"/>
  <c r="Q30" i="38" l="1"/>
  <c r="Q21" i="38"/>
  <c r="S19" i="38"/>
  <c r="T18" i="38"/>
  <c r="S18" i="38"/>
  <c r="T20" i="38"/>
  <c r="R30" i="38" l="1"/>
  <c r="Q31" i="38" s="1"/>
  <c r="J24" i="38" s="1"/>
  <c r="R21" i="38"/>
  <c r="T30" i="38" l="1"/>
  <c r="S30" i="38"/>
  <c r="S21" i="38"/>
  <c r="R13" i="38"/>
  <c r="R31" i="38"/>
  <c r="M24" i="38" s="1"/>
  <c r="Q24" i="38"/>
  <c r="T21" i="38"/>
  <c r="R24" i="38" l="1"/>
  <c r="C9" i="38" s="1"/>
  <c r="S13" i="38"/>
  <c r="T13" i="38"/>
  <c r="T31" i="38"/>
  <c r="S31" i="38"/>
  <c r="T24" i="38" l="1"/>
  <c r="S24" i="38"/>
  <c r="O10" i="38" s="1" a="1"/>
  <c r="O10" i="3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<sst xmlns="http://schemas.openxmlformats.org/spreadsheetml/2006/main" count="1896" uniqueCount="1265">
  <si>
    <t>Average Annual Salary:</t>
  </si>
  <si>
    <t>Instructions</t>
  </si>
  <si>
    <t>Total Annual Working Hours:</t>
  </si>
  <si>
    <t>1. Change values in YELLOW boxes</t>
  </si>
  <si>
    <t xml:space="preserve">Starting Wage ($/Hr): </t>
  </si>
  <si>
    <t>2. Light BROWN boxes are calculated values</t>
  </si>
  <si>
    <t>3. FICA is Federal Insurance Contributions Act</t>
  </si>
  <si>
    <t>Fixed Costs</t>
  </si>
  <si>
    <t>4. FUTA is Federal Unemployment Tax Act</t>
  </si>
  <si>
    <t xml:space="preserve">FICA: </t>
  </si>
  <si>
    <t>5. SUTA is State Unemployment Tax Act</t>
  </si>
  <si>
    <t xml:space="preserve">FUTA: </t>
  </si>
  <si>
    <t xml:space="preserve">SUTA: </t>
  </si>
  <si>
    <t>Insurance</t>
  </si>
  <si>
    <t xml:space="preserve">General Liability Insurance Rate ($/1000): </t>
  </si>
  <si>
    <t xml:space="preserve">Worker's Compensation Rate ($/100): </t>
  </si>
  <si>
    <t xml:space="preserve">New Hourly Wage: </t>
  </si>
  <si>
    <t xml:space="preserve">Total Hourly Burden: </t>
  </si>
  <si>
    <t xml:space="preserve">Total Annual Pay: </t>
  </si>
  <si>
    <t xml:space="preserve">Health Care Insurance (Family): </t>
  </si>
  <si>
    <t>Burndened Annual Pay:</t>
  </si>
  <si>
    <t>6. Healthcare Insurance survey says that the average annual costs is approximately $21,800 and the employers paid 62% of it</t>
  </si>
  <si>
    <t>FM plans to hire employees with experience in the industry and assumes that they will have a family and healthcare is plan is opted.</t>
  </si>
  <si>
    <t>THE STARTUP PHASE</t>
  </si>
  <si>
    <t>Tasks:</t>
  </si>
  <si>
    <t>Critical hiring</t>
  </si>
  <si>
    <t>Annual Base Pay</t>
  </si>
  <si>
    <t>Annual Burdened Pay</t>
  </si>
  <si>
    <t>(Calculated)</t>
  </si>
  <si>
    <t>Critical equipment purchases</t>
  </si>
  <si>
    <t xml:space="preserve">Sub Total: </t>
  </si>
  <si>
    <t xml:space="preserve">Employer paid healthcare Insurance: </t>
  </si>
  <si>
    <t xml:space="preserve">Critical Tasks </t>
  </si>
  <si>
    <t>Critical Parts Procurement (This will overlap between the first and second phase.</t>
  </si>
  <si>
    <t>Details breakdown given in the second phase under materials purchase)</t>
  </si>
  <si>
    <t>Critical Services (Outsourced)</t>
  </si>
  <si>
    <t>THE BETA PHASE (TEST, RUN, &amp; DEPLOY PHASE)</t>
  </si>
  <si>
    <t>Patents and IP Management plan</t>
  </si>
  <si>
    <t>It is important to note that all the manuals, files and documents are already scanned and</t>
  </si>
  <si>
    <t>computerized. By digitizing it we are making it searchable across the repository including the</t>
  </si>
  <si>
    <t>content inside the documents.</t>
  </si>
  <si>
    <t xml:space="preserve">    time go ahead with international patents.</t>
  </si>
  <si>
    <t>Accessories Qualification &amp; Integration</t>
  </si>
  <si>
    <t>Build test engines</t>
  </si>
  <si>
    <t>Calibration of accessories during dyno testing</t>
  </si>
  <si>
    <t>OEM Colaboration</t>
  </si>
  <si>
    <t>THE PRODUCTION READINESS PHASE</t>
  </si>
  <si>
    <t>Consolidate all the tasks and lessons learned documented in Startup and Beta Plans</t>
  </si>
  <si>
    <t>Crosscheck and ensure the assembly line software is up to date</t>
  </si>
  <si>
    <t>Develop a Q&amp;A process for the production line</t>
  </si>
  <si>
    <t>Final training to all employees</t>
  </si>
  <si>
    <t>CEO, CTO &amp; COO sign off</t>
  </si>
  <si>
    <t xml:space="preserve">Grand Total: </t>
  </si>
  <si>
    <t>BEYOND 12 MONTH PHASE</t>
  </si>
  <si>
    <t>Monthly Burn Rate</t>
  </si>
  <si>
    <t>Month</t>
  </si>
  <si>
    <t>Startup Phase</t>
  </si>
  <si>
    <t>Beta Phase</t>
  </si>
  <si>
    <t>Production Readiness Phase</t>
  </si>
  <si>
    <t>Beyond 12 Months Phase</t>
  </si>
  <si>
    <t>NOTES</t>
  </si>
  <si>
    <t>a). Develop patent package</t>
  </si>
  <si>
    <t>b). Patent related work</t>
  </si>
  <si>
    <t>c). Legal fees for US and International patents</t>
  </si>
  <si>
    <t>i). 4-axis CNC</t>
  </si>
  <si>
    <t xml:space="preserve">ii). Automated lathe </t>
  </si>
  <si>
    <t xml:space="preserve">iii). Inspection equipment </t>
  </si>
  <si>
    <t xml:space="preserve">iv). Lapping machine </t>
  </si>
  <si>
    <t xml:space="preserve">v). Sand blaster </t>
  </si>
  <si>
    <t>vi). Parts cleaner</t>
  </si>
  <si>
    <t>vii). Broaching machine</t>
  </si>
  <si>
    <t>viii). Plasma coater (purchase or contract)</t>
  </si>
  <si>
    <t>ix). Hydraulic Press</t>
  </si>
  <si>
    <t xml:space="preserve">x). Heat treatment equipment </t>
  </si>
  <si>
    <t xml:space="preserve">xi). Degreasing system </t>
  </si>
  <si>
    <t xml:space="preserve">i). Two hand milling machines with digital read </t>
  </si>
  <si>
    <t>ii). Lathe</t>
  </si>
  <si>
    <t>iii). Hand brake</t>
  </si>
  <si>
    <t>iv). Power shear</t>
  </si>
  <si>
    <t xml:space="preserve">v). Band saw with automatic </t>
  </si>
  <si>
    <t>vi). Gas welder</t>
  </si>
  <si>
    <t>vii). Electric welder</t>
  </si>
  <si>
    <t>viii). Tooling accessories</t>
  </si>
  <si>
    <t>i). Engine dimensions converted to metric</t>
  </si>
  <si>
    <t>ii). Castings designed for lost foam process</t>
  </si>
  <si>
    <t>iii). Dyno installation and operating</t>
  </si>
  <si>
    <t>ii). Apex, side and corner rotor seals and springs.</t>
  </si>
  <si>
    <t>iv). Business related attorney (retainer)</t>
  </si>
  <si>
    <t>a). Gas dynamics expert to create dynamic model of combustion process</t>
  </si>
  <si>
    <t>b). Casting expert</t>
  </si>
  <si>
    <t>c). ECU design expert</t>
  </si>
  <si>
    <t>d). 4 axis CNC machine center tooling expert</t>
  </si>
  <si>
    <t>a). Main bearings</t>
  </si>
  <si>
    <t>b). Main bearing seals</t>
  </si>
  <si>
    <t>c). Various bolts</t>
  </si>
  <si>
    <t>d). Stationary gear</t>
  </si>
  <si>
    <t>e). Accessories</t>
  </si>
  <si>
    <t>i). water pump</t>
  </si>
  <si>
    <t>ii). oil injection pump</t>
  </si>
  <si>
    <t>iii). generator</t>
  </si>
  <si>
    <t>iv). ignition system</t>
  </si>
  <si>
    <t>v). fuel system ECU</t>
  </si>
  <si>
    <t>vi). starter</t>
  </si>
  <si>
    <t>a). Counterweights</t>
  </si>
  <si>
    <t>b). Crankshaft</t>
  </si>
  <si>
    <t>c). Rotor housing</t>
  </si>
  <si>
    <t>d). End housings</t>
  </si>
  <si>
    <t>e). Rotor</t>
  </si>
  <si>
    <t>a). Digitizing existing documentation (make it searchable and OCR readable) (Make or Buy decision).</t>
  </si>
  <si>
    <t>c). Initial submission of US patents and file for 18 months protection internationally and within that</t>
  </si>
  <si>
    <t>b). Lubrication</t>
  </si>
  <si>
    <t>c). Ignition</t>
  </si>
  <si>
    <t>d). Fuel</t>
  </si>
  <si>
    <t>b). Generate assembly plan and accommodate it in the software</t>
  </si>
  <si>
    <t>Monthly Cumalative</t>
  </si>
  <si>
    <t>a). Cooling</t>
  </si>
  <si>
    <t xml:space="preserve">Burden % Without Healthcare: </t>
  </si>
  <si>
    <t xml:space="preserve">Burden % With Healthcare: </t>
  </si>
  <si>
    <t>Federal Law ACA (Affordable Care Act) makes it optional for Small Businesses under 50 employees to provide healthcare.</t>
  </si>
  <si>
    <t>If Healthcare is provided by small business, then it has to comply with ACA</t>
  </si>
  <si>
    <t>In order to attract top level talent &amp; stay competitive, one of the main perks small businesses provide is Healthcare</t>
  </si>
  <si>
    <t>a). Example only</t>
  </si>
  <si>
    <t>A). Parts purchased</t>
  </si>
  <si>
    <t>B). Parts produced in-house</t>
  </si>
  <si>
    <t>A). Manufacturing</t>
  </si>
  <si>
    <t>N</t>
  </si>
  <si>
    <t>Lead Time (Days)</t>
  </si>
  <si>
    <t>Y</t>
  </si>
  <si>
    <t xml:space="preserve">vi). Outside consultants </t>
  </si>
  <si>
    <t>Off The Shelf</t>
  </si>
  <si>
    <t xml:space="preserve">May need staff onboard to </t>
  </si>
  <si>
    <t>make selection</t>
  </si>
  <si>
    <t>i). IKO Rotor bearings (lead time: 90 days) requires sizable order to keep price down.</t>
  </si>
  <si>
    <t>v). Patent attorney (Average $75,000 per patent. We have at least 6 patents in process)</t>
  </si>
  <si>
    <t>f). Flywheel for non-generator</t>
  </si>
  <si>
    <t xml:space="preserve">b). Patent plan with CTO as the lead. </t>
  </si>
  <si>
    <t>a). Final evaluation to verify if any more purchases are needed</t>
  </si>
  <si>
    <t>a). Evaluate if any more staff are needed</t>
  </si>
  <si>
    <t>i). HR and payroll service (Annual cost)</t>
  </si>
  <si>
    <t>ii). Financial services (Annual cost)</t>
  </si>
  <si>
    <t>iii). IT services (Annual cost)</t>
  </si>
  <si>
    <t>In House</t>
  </si>
  <si>
    <t>vii). Building lease, power, water etc… overhead (throughout all the phases) (Annual cost)</t>
  </si>
  <si>
    <t>Should begin immediately after the staff is on board.</t>
  </si>
  <si>
    <t>Outsourced costs</t>
  </si>
  <si>
    <t>Sub Total</t>
  </si>
  <si>
    <t>Raised Funds</t>
  </si>
  <si>
    <t xml:space="preserve">Average working days per month: </t>
  </si>
  <si>
    <t>Sales Revenue</t>
  </si>
  <si>
    <t>Cash Balance by end of month</t>
  </si>
  <si>
    <t>150cc Produced per day</t>
  </si>
  <si>
    <t>530cc Produced per day</t>
  </si>
  <si>
    <t>530cc Produced per Month</t>
  </si>
  <si>
    <t>150cc Produced per Month</t>
  </si>
  <si>
    <t>b). Digital Optical Comparator (Q&amp;A)</t>
  </si>
  <si>
    <t>a). Computer aided engine balancing</t>
  </si>
  <si>
    <t xml:space="preserve">Freedom Motors receives orders in two categories. </t>
  </si>
  <si>
    <t>Category One:</t>
  </si>
  <si>
    <t xml:space="preserve">These orders are random and come in almost every week. These orders do not require any work with the </t>
  </si>
  <si>
    <t>customer and almost in every case an off the shelf engine will suffice the need.</t>
  </si>
  <si>
    <t>Category Two:</t>
  </si>
  <si>
    <t>Companies (small, medium, &amp; large) contact FM with interest to use our engine in their products.</t>
  </si>
  <si>
    <t>Most of these companies have a matured product but they're driven by changing their business model</t>
  </si>
  <si>
    <t xml:space="preserve">for variety of reasons including better efficiency of their product, meeting environmental goals, or </t>
  </si>
  <si>
    <t>creating a better overall product. This category requires FM to do a prototype project with the company to ensure</t>
  </si>
  <si>
    <t xml:space="preserve">proper integration is done with their product and the end goal is to ensure technological and economical </t>
  </si>
  <si>
    <t>feasibility is achieved.</t>
  </si>
  <si>
    <t>Estimated Engines required</t>
  </si>
  <si>
    <t>Time period</t>
  </si>
  <si>
    <t>Alturair</t>
  </si>
  <si>
    <t>5 years</t>
  </si>
  <si>
    <t>Alife Air</t>
  </si>
  <si>
    <t>Ally Power</t>
  </si>
  <si>
    <t>Epiphany Energy</t>
  </si>
  <si>
    <t>4 years</t>
  </si>
  <si>
    <t>Swedish Snomobile</t>
  </si>
  <si>
    <t>FM estimates an average of 500-1,000 engines per month.</t>
  </si>
  <si>
    <t>Company Name</t>
  </si>
  <si>
    <t>Airship TG</t>
  </si>
  <si>
    <t>Moller International</t>
  </si>
  <si>
    <t>Workshop Manager</t>
  </si>
  <si>
    <t>Welder</t>
  </si>
  <si>
    <t>Warranty Handler</t>
  </si>
  <si>
    <t>Warehouse Worker</t>
  </si>
  <si>
    <t>Warehouse Operative</t>
  </si>
  <si>
    <t>Warehouse Forklift Operator</t>
  </si>
  <si>
    <t>Toolmaker</t>
  </si>
  <si>
    <t>Testing Technician</t>
  </si>
  <si>
    <t>Technology Development Manager</t>
  </si>
  <si>
    <t>Technical Operator</t>
  </si>
  <si>
    <t>Sustainable Manufacturing Specialist</t>
  </si>
  <si>
    <t>Supply Chain Operative</t>
  </si>
  <si>
    <t>Structural Welder</t>
  </si>
  <si>
    <t>Sterile Processing Technician</t>
  </si>
  <si>
    <t>Spray Painter</t>
  </si>
  <si>
    <t>Smart Factory Consultant</t>
  </si>
  <si>
    <t>Shipping Manager</t>
  </si>
  <si>
    <t>SHEQ Officer</t>
  </si>
  <si>
    <t>Service Technician</t>
  </si>
  <si>
    <t>Quality Control Manager</t>
  </si>
  <si>
    <t>Quality Control Inspector</t>
  </si>
  <si>
    <t>Quality Control Analyst</t>
  </si>
  <si>
    <t>Production Worker</t>
  </si>
  <si>
    <t>Production Technician</t>
  </si>
  <si>
    <t>Production Supervisor</t>
  </si>
  <si>
    <t>Production Scheduler</t>
  </si>
  <si>
    <t>Production Operator</t>
  </si>
  <si>
    <t>Production Manager</t>
  </si>
  <si>
    <t>Production Laborer</t>
  </si>
  <si>
    <t>Production Inspector</t>
  </si>
  <si>
    <t>Production Engineering Supervisor</t>
  </si>
  <si>
    <t>Production Engineer</t>
  </si>
  <si>
    <t>Production Director</t>
  </si>
  <si>
    <t>Production Analyst</t>
  </si>
  <si>
    <t>Product Manager</t>
  </si>
  <si>
    <t>Process Technician</t>
  </si>
  <si>
    <t>Predictive Maintenance Analyst</t>
  </si>
  <si>
    <t>Precision Instrument Repairer</t>
  </si>
  <si>
    <t>Plant Manager</t>
  </si>
  <si>
    <t>Planning Manager</t>
  </si>
  <si>
    <t>Packing Deputy Supervisor</t>
  </si>
  <si>
    <t>Packer</t>
  </si>
  <si>
    <t>Packaging Manager</t>
  </si>
  <si>
    <t>Package Handler</t>
  </si>
  <si>
    <t>Order Selector</t>
  </si>
  <si>
    <t>Order Processing Manager</t>
  </si>
  <si>
    <t>Order Management Coordinator</t>
  </si>
  <si>
    <t>Operations Manager</t>
  </si>
  <si>
    <t>Operations Engineer</t>
  </si>
  <si>
    <t>Metrology Engineer</t>
  </si>
  <si>
    <t>Merchandise Planner</t>
  </si>
  <si>
    <t>Mechanical Foreman</t>
  </si>
  <si>
    <t>Mechanical Fitter Engineer</t>
  </si>
  <si>
    <t>Materials Supervisor</t>
  </si>
  <si>
    <t>Materials Manager</t>
  </si>
  <si>
    <t>Manufacturing Technician</t>
  </si>
  <si>
    <t>Manufacturing Supervisor</t>
  </si>
  <si>
    <t>Manufacturing Production Technician</t>
  </si>
  <si>
    <t>Manufacturing Operative</t>
  </si>
  <si>
    <t>Manufacturing Manager</t>
  </si>
  <si>
    <t>Manufacturing Engineering Technologist</t>
  </si>
  <si>
    <t>Manufacturing Engineering Manager</t>
  </si>
  <si>
    <t>Manufacturing Engineer</t>
  </si>
  <si>
    <t>Maintenance Store Clerk</t>
  </si>
  <si>
    <t>Maintenance Manager</t>
  </si>
  <si>
    <t>Machinist</t>
  </si>
  <si>
    <t>Machine Operator</t>
  </si>
  <si>
    <t>Logistics Clerk</t>
  </si>
  <si>
    <t>Logistic Coordinator</t>
  </si>
  <si>
    <t>Loading Supervisor</t>
  </si>
  <si>
    <t>Lift Truck Operator</t>
  </si>
  <si>
    <t>Lean Manufacturing Specialist</t>
  </si>
  <si>
    <t>Key Account Manager</t>
  </si>
  <si>
    <t>Intake Operator</t>
  </si>
  <si>
    <t>Industrial Safety and Health Engineer</t>
  </si>
  <si>
    <t>Industrial Production Manager</t>
  </si>
  <si>
    <t>Industrial Machinery Mechanic</t>
  </si>
  <si>
    <t>Industrial Cybersecurity Specialist</t>
  </si>
  <si>
    <t>HSE Manager</t>
  </si>
  <si>
    <t>Heavy Equipment Operator</t>
  </si>
  <si>
    <t>Green Product Designer</t>
  </si>
  <si>
    <t>General Warehouse Associate</t>
  </si>
  <si>
    <t>Gas Appliance Repairer</t>
  </si>
  <si>
    <t>Furnace Operator</t>
  </si>
  <si>
    <t>Forming Machine Operator</t>
  </si>
  <si>
    <t>Forklift Operator</t>
  </si>
  <si>
    <t>Forklift Driver</t>
  </si>
  <si>
    <t>Food Technologist</t>
  </si>
  <si>
    <t>Fiberglass Laminator</t>
  </si>
  <si>
    <t>Failure Analysis Technician</t>
  </si>
  <si>
    <t>Factory Worker</t>
  </si>
  <si>
    <t>Factory Superintendent</t>
  </si>
  <si>
    <t>Export Sales Coordinator</t>
  </si>
  <si>
    <t>Equipment Operator</t>
  </si>
  <si>
    <t>Drying Technician</t>
  </si>
  <si>
    <t>Dock Worker</t>
  </si>
  <si>
    <t>Director of Manufacturing</t>
  </si>
  <si>
    <t>Digital Twin Engineer</t>
  </si>
  <si>
    <t>Derrick Operator</t>
  </si>
  <si>
    <t>Demand Planner</t>
  </si>
  <si>
    <t>Data Collection Coordinator</t>
  </si>
  <si>
    <t>Contracts Manager</t>
  </si>
  <si>
    <t>CNC Programmer</t>
  </si>
  <si>
    <t>CNC Operator</t>
  </si>
  <si>
    <t>CNC Machinist</t>
  </si>
  <si>
    <t>Chemical Technican Apprentice</t>
  </si>
  <si>
    <t>Chemical Equipment Controller</t>
  </si>
  <si>
    <t>Automation Process Analyst</t>
  </si>
  <si>
    <t>Assistant Shipping Manager</t>
  </si>
  <si>
    <t>Assistance Maintenance Manager</t>
  </si>
  <si>
    <t>Assembly Supervisor</t>
  </si>
  <si>
    <t>Assembly Line Worker</t>
  </si>
  <si>
    <t>Assembly Foreman</t>
  </si>
  <si>
    <t>The data in the table on the left is the 2023 survey results.</t>
  </si>
  <si>
    <t>Additive Manufacturing Engineer</t>
  </si>
  <si>
    <t>The Salary Explorer Website job survey in Factory &amp; Manufacturing was used.</t>
  </si>
  <si>
    <t>3D Printing Technician</t>
  </si>
  <si>
    <t>Job Title</t>
  </si>
  <si>
    <t>#</t>
  </si>
  <si>
    <t>Profit &amp; Loss Estimates</t>
  </si>
  <si>
    <t>Total</t>
  </si>
  <si>
    <t>Revenues</t>
  </si>
  <si>
    <t>Cost of Production</t>
  </si>
  <si>
    <t>Gross Profit</t>
  </si>
  <si>
    <t>Gross Profit Margin</t>
  </si>
  <si>
    <t>Operating Expenses</t>
  </si>
  <si>
    <t>Net Income Before Taxes</t>
  </si>
  <si>
    <t>Operating Margin</t>
  </si>
  <si>
    <t>Revenues Break down</t>
  </si>
  <si>
    <t>Total Revenues</t>
  </si>
  <si>
    <t>150cc</t>
  </si>
  <si>
    <t xml:space="preserve"># of Engines </t>
  </si>
  <si>
    <t>Unit Sale Price</t>
  </si>
  <si>
    <t>Sub-Total</t>
  </si>
  <si>
    <t>530cc</t>
  </si>
  <si>
    <t>1060cc</t>
  </si>
  <si>
    <t>USA</t>
  </si>
  <si>
    <t>PRODUCTION UNITS</t>
  </si>
  <si>
    <t>TOTAL</t>
  </si>
  <si>
    <t>Single Rotor 150cc</t>
  </si>
  <si>
    <t>Single Rotor 530cc</t>
  </si>
  <si>
    <t>In House CoG</t>
  </si>
  <si>
    <t>Twin Rotor 1060cc (2x530cc)</t>
  </si>
  <si>
    <t>Outsourced CoG</t>
  </si>
  <si>
    <t>UNIT ECONOMICS</t>
  </si>
  <si>
    <t>Sale Price</t>
  </si>
  <si>
    <t>Additional inefficiencies in COGS</t>
  </si>
  <si>
    <t>Gross margin</t>
  </si>
  <si>
    <t>Gross margin %</t>
  </si>
  <si>
    <t>INCOME STATEMENT</t>
  </si>
  <si>
    <t>Sales Revenue - Single Rotor 150cc</t>
  </si>
  <si>
    <t>Sales Revenue - Single Rotor 530cc</t>
  </si>
  <si>
    <t>Sales Revenue - Twin Rotor 1060cc (2x530cc)</t>
  </si>
  <si>
    <t>Total Sales Revenue</t>
  </si>
  <si>
    <t>Total Cost of Goods - Single Rotor 530cc</t>
  </si>
  <si>
    <t>Total Cost of Goods - Twin Rotor 1060cc (2x530cc)</t>
  </si>
  <si>
    <t>Total Cost of Goods</t>
  </si>
  <si>
    <t>Total Cost of Goods %</t>
  </si>
  <si>
    <t>Total Gross Profit</t>
  </si>
  <si>
    <t>Total Gross Profit %</t>
  </si>
  <si>
    <t>[OpEx] Depreciation 7 Years Straight Line</t>
  </si>
  <si>
    <t>[OpEx] Facilities Lease</t>
  </si>
  <si>
    <t>Total Operating Expenses (OpEx)</t>
  </si>
  <si>
    <t>Net Income Before Taxes %</t>
  </si>
  <si>
    <t>Applied Loss Carry Forward</t>
  </si>
  <si>
    <t>Taxable Income</t>
  </si>
  <si>
    <t>Net Income After Taxes</t>
  </si>
  <si>
    <t>Net Income After Taxes %</t>
  </si>
  <si>
    <t>The following link is for USA</t>
  </si>
  <si>
    <t>The following link is for California</t>
  </si>
  <si>
    <t>Color Technologist</t>
  </si>
  <si>
    <t>2023 Factory and Manufacturing Pay Survey</t>
  </si>
  <si>
    <t>USA Median</t>
  </si>
  <si>
    <t>California Median</t>
  </si>
  <si>
    <t xml:space="preserve">Sacramento Area Locality Pay Adjustment: </t>
  </si>
  <si>
    <t>Burdened Pay</t>
  </si>
  <si>
    <t>Sacramento Area</t>
  </si>
  <si>
    <t>General Liability Insurance</t>
  </si>
  <si>
    <t>President</t>
  </si>
  <si>
    <t>CEO</t>
  </si>
  <si>
    <t>COO</t>
  </si>
  <si>
    <t>CIO</t>
  </si>
  <si>
    <t>CFO</t>
  </si>
  <si>
    <t>Chief Engineer</t>
  </si>
  <si>
    <t>Administrative Assistant</t>
  </si>
  <si>
    <t>Office Manager</t>
  </si>
  <si>
    <t>Accountant</t>
  </si>
  <si>
    <t>Financial Analyst</t>
  </si>
  <si>
    <t>Auditor</t>
  </si>
  <si>
    <t>Project Manager</t>
  </si>
  <si>
    <t>Business Analyst</t>
  </si>
  <si>
    <t>Aerospace Engineer (Lead)</t>
  </si>
  <si>
    <t>Aircraft Assembler</t>
  </si>
  <si>
    <t>Aircraft Electronics Technician</t>
  </si>
  <si>
    <t>Aerospace Technician</t>
  </si>
  <si>
    <t>IT Help Desk Technician</t>
  </si>
  <si>
    <t>Public Relations Specialist</t>
  </si>
  <si>
    <t>VP of Engineering (Director of Engg.)</t>
  </si>
  <si>
    <t>CAD Engineer</t>
  </si>
  <si>
    <t>Job Shop Machinist</t>
  </si>
  <si>
    <t>Miscelleneous Service Personnel</t>
  </si>
  <si>
    <t>General Mechanic - Electrical</t>
  </si>
  <si>
    <t>General Mechanic - Fabrication</t>
  </si>
  <si>
    <t>Precision Assembler/Manufacturing Technician</t>
  </si>
  <si>
    <t>Small Engine Mechanic (Power Plant Technician)</t>
  </si>
  <si>
    <t>Industrial Engineer (Mechanical Engineer)</t>
  </si>
  <si>
    <t>Human Resource Officer</t>
  </si>
  <si>
    <t>Contract Specialist</t>
  </si>
  <si>
    <t>IP Technical Writer</t>
  </si>
  <si>
    <t>Facility Technician (Smart Building Technician)</t>
  </si>
  <si>
    <t>Procurement Analyst</t>
  </si>
  <si>
    <t>Inventory Specialist</t>
  </si>
  <si>
    <t>Product Marketing Engineer</t>
  </si>
  <si>
    <t>Client Service Analyst</t>
  </si>
  <si>
    <t>Corporate Counsel</t>
  </si>
  <si>
    <t>IT Security Analyst</t>
  </si>
  <si>
    <t>Network Engineer</t>
  </si>
  <si>
    <t>HR Associate</t>
  </si>
  <si>
    <t>IP Content Designer</t>
  </si>
  <si>
    <t>Features:</t>
  </si>
  <si>
    <t>Fewer Moving Parts</t>
  </si>
  <si>
    <t>Reduced Fuel Consumption</t>
  </si>
  <si>
    <t>Very Low Emission Levels</t>
  </si>
  <si>
    <t>Proven Multi-Fuel Performer</t>
  </si>
  <si>
    <t>Low Vibration Levels</t>
  </si>
  <si>
    <t>Modular Design</t>
  </si>
  <si>
    <t>• Charge or air-cooled rotor design eliminates many engine components typical of existing rotary engines.</t>
  </si>
  <si>
    <t>• Can be disassembled and reassembled in less than 30 minutes.</t>
  </si>
  <si>
    <t>• Fewer moving parts means longer life and lower direct and indirect cost.</t>
  </si>
  <si>
    <t>•  Compares to 0.45 lb./HP-hr. for the average commercial 4-stroke piston engine and ~ 0.35 lb./HP-hr. for the best 4-stroke gasoline fueled automotive engine.</t>
  </si>
  <si>
    <t>• NOx emissions much lower than 4-stroke piston engines.</t>
  </si>
  <si>
    <t>• Carbon Monoxide (CO) and unburned hydrocarbon (HC) emissions are two orders of magnitude better than 2-stroke, and one order of magnitude better than many industrial or commercial 4-stroke piston engines.</t>
  </si>
  <si>
    <t>• Pre-production is underway of a hydrogen fueled version to fulfill FM’s $60+ million with OneH2</t>
  </si>
  <si>
    <t>• Perfect radial balanced allows rigid mounting, which can become an integral part of the chassis.</t>
  </si>
  <si>
    <t>• Instantaneous torque characteristics identical to 6 cylinders 4-stroke piston engine (two-rotor model).</t>
  </si>
  <si>
    <t>• Stacking of rotors easily extends range of available power.</t>
  </si>
  <si>
    <t>• Specific Fuel Consumption ~0.4 lb./HP-hr. for the 4-stroke Rotapower engine with the potential to achieve 0.31 lb./HP-hr. from the 5-stroke version that extracts residual energy from the exhaust based on NASA predictions and test results to date.</t>
  </si>
  <si>
    <t xml:space="preserve">• Demonstrated on gasoline, natural gas, alcohol (methanol and ethanol) and propane, Spark-ignited diesel, kerosene, and jet fuel.  Methanol and ethanol represent the ideal fuels for the Rotapower® engine, as to </t>
  </si>
  <si>
    <t xml:space="preserve">horsepower and torque output, cooling characteristics, fuel economy and environmental effects, </t>
  </si>
  <si>
    <t>Fuel Consumption Comparison</t>
  </si>
  <si>
    <t>Rotapower® Improvements to Extend Engine Life</t>
  </si>
  <si>
    <t xml:space="preserve">o   Parallel cooling for rotor (Patent #5413877). </t>
  </si>
  <si>
    <t>o   Unique oil injection and lubrication system (Patent #6325603).</t>
  </si>
  <si>
    <t>o   Complimentary cooling towers (Patent #6164942).</t>
  </si>
  <si>
    <t>o   20,000+ hour life seal and wear surface life.</t>
  </si>
  <si>
    <t>o   Rotor housing grind finish eliminates need to lap housing.</t>
  </si>
  <si>
    <t>o   Lower cost plasma coatings for rotor housing.</t>
  </si>
  <si>
    <t>o   Lubricating oil uniquely able to address the needs of the Rotapower® engine.</t>
  </si>
  <si>
    <t>• Freedom Motors incorporated patented improvements into its designs:</t>
  </si>
  <si>
    <t>• Cooling approach eliminated end-loading the roller bearing and side-thrust on the rotor.</t>
  </si>
  <si>
    <t>• Lubrication patent placed lubricating oil precisely where it was needed.</t>
  </si>
  <si>
    <t>• Trade secrets to be implemented in production:</t>
  </si>
  <si>
    <t>Rotapower® Improvements to Reduce Fuel Consumption and Emissions while Increasing Power</t>
  </si>
  <si>
    <t>• Unique intake port arrangement of fuel/airflow and airflow that leads to a 15% increase in power and a 4% reduction in fuel consumption in the 4-Stroke Rotapower® engine.</t>
  </si>
  <si>
    <t>• Fuel/air intake timed by rotor position so that the charge enters the intake stroke near the leading edge of the rotor creating a stratified charge. Results in a 15% reduction in fuel consumption and near zero toxic emissions.</t>
  </si>
  <si>
    <t>• A specific combination of engine displacement, engine RPM and brake mean effective pressure (BMEP) that allows the Rotapower® engine to operate on the Otto cycle while using diesel fuel.</t>
  </si>
  <si>
    <t>• One-way airflow valve with very low-pressure loss.</t>
  </si>
  <si>
    <t xml:space="preserve">• 5-Stroke version of the Rotapower® engine that increases power by up to 50%, reduces exhaust noise by over 90%, reduces exhaust temperature by nearly 50% and potentially reduces fuel consumption by up to 20%. </t>
  </si>
  <si>
    <t>Rotapower® Engine Emissions</t>
  </si>
  <si>
    <t xml:space="preserve">• Tests carried out in conjunction with the Institute of Transportation Studies (ITS) at the University of California at Davis </t>
  </si>
  <si>
    <t>and witnessed by members of the California Air Resources Board (CARB).</t>
  </si>
  <si>
    <t xml:space="preserve">• The Rotapower® engine using gasoline as a fuel achieved hydrocarbon, carbon monoxide, and nitrous oxide emission levels </t>
  </si>
  <si>
    <t>well below those required to meet the Ultra-Low Emission Vehicle (ULEV) standards for California</t>
  </si>
  <si>
    <t xml:space="preserve">• This was accomplished without exhaust after-treatment (catalytic converter) which had not been previously achieved with any </t>
  </si>
  <si>
    <t>again without exhaust after-treatment.</t>
  </si>
  <si>
    <t>other engine technology. Using ethanol resulted in emissions well below the Super Ultra Low Emission Vehicle (SULEV) California standards</t>
  </si>
  <si>
    <r>
      <t xml:space="preserve">•   </t>
    </r>
    <r>
      <rPr>
        <sz val="11"/>
        <color rgb="FF000000"/>
        <rFont val="Aptos"/>
        <family val="2"/>
      </rPr>
      <t>The growth of the construction activities surges the demand for outdoor power equipment, which is likely to dominate the small gas engine market due to the nominal maintenance costs and reduced product costs.</t>
    </r>
  </si>
  <si>
    <r>
      <t xml:space="preserve">•   </t>
    </r>
    <r>
      <rPr>
        <sz val="11"/>
        <color rgb="FF000000"/>
        <rFont val="Aptos"/>
        <family val="2"/>
      </rPr>
      <t>Due to emission legislation, the major manufacturers are investing in new technical avenues, such as micro-hybridization engines, biofuels engines, etc., which are expected to provide opportunities for market growth.</t>
    </r>
  </si>
  <si>
    <r>
      <t xml:space="preserve">•   </t>
    </r>
    <r>
      <rPr>
        <sz val="11"/>
        <color rgb="FF000000"/>
        <rFont val="Aptos"/>
        <family val="2"/>
      </rPr>
      <t>Asia-Pacific is expected to dominate the small gas engine market, with most of the demand coming from countries like China and India.</t>
    </r>
  </si>
  <si>
    <t xml:space="preserve">One of the most important attributes of Rotapower® engines is its flexibility to operate on various fuels. Freedom Motors have successfully tested and operated Rotapower® engines </t>
  </si>
  <si>
    <t>on ethanol, methanol, hydrogen, natural gas, propane, gasoline, diesel, and biogas. It is certain that Rotapower® engines are capable of operating on many more fuels than tested.</t>
  </si>
  <si>
    <t xml:space="preserve">Due to the COVID-19 pandemic, the market studied witnessed a negative impact, owing to the subdued activities in the end-user industries. </t>
  </si>
  <si>
    <t xml:space="preserve">However, the market has been showing signs of recovery since early 2021, which was likely due to the economic rebound in the majority of the countries. Factors such as the increasing </t>
  </si>
  <si>
    <t xml:space="preserve">use of construction equipment powered by gas generators, the decline in natural gas prices, low environmental impact, and increasing flexibility and efficiency of gas-driven energy generation </t>
  </si>
  <si>
    <t>are expected to drive the small gas engine market demand during the forecast period.</t>
  </si>
  <si>
    <t xml:space="preserve">However, the cost of the small gas engine is likely to hamper the market. Consumers are buying cheap equipment from merchandisers or retailers at low prices. Such scenarios are pushing the </t>
  </si>
  <si>
    <t>This is a significant advantage for Freedom Motors due to very low manufacturing costs and when manufactured in countries in Asia, the cost of Rotapower® engines can be very competitive.</t>
  </si>
  <si>
    <r>
      <t xml:space="preserve">•   </t>
    </r>
    <r>
      <rPr>
        <sz val="11"/>
        <color rgb="FF000000"/>
        <rFont val="Aptos"/>
        <family val="2"/>
      </rPr>
      <t xml:space="preserve">A gas engine is an internal combustion engine that runs on natural gas or other gases, such as coal gas, producers' gas, biogas, and landfill gas. </t>
    </r>
  </si>
  <si>
    <t xml:space="preserve">     Higher flexibility and quick-startup of the gas engine also result in a shift from other drivers to gas engines among the users, especially in the </t>
  </si>
  <si>
    <t xml:space="preserve">    small size capacity range (20 – 640 cc) in recent times. </t>
  </si>
  <si>
    <r>
      <t xml:space="preserve">•   </t>
    </r>
    <r>
      <rPr>
        <sz val="11"/>
        <color rgb="FF000000"/>
        <rFont val="Aptos"/>
        <family val="2"/>
      </rPr>
      <t xml:space="preserve">Any construction activity requires electric power to run the various machinery and equipment. The sites cannot avail of grid supplies as the concerned </t>
    </r>
  </si>
  <si>
    <t xml:space="preserve">     project's power infrastructure might not be fully developed to support the power requirement of the construction phase, thus creating a need for </t>
  </si>
  <si>
    <t xml:space="preserve">     efficient small gas engines. </t>
  </si>
  <si>
    <r>
      <t xml:space="preserve">•   </t>
    </r>
    <r>
      <rPr>
        <sz val="11"/>
        <color rgb="FF000000"/>
        <rFont val="Aptos"/>
        <family val="2"/>
      </rPr>
      <t xml:space="preserve">In recent years, due to the increasing demand for efficient and low carbon engines along with technological advancements, companies are investing </t>
    </r>
  </si>
  <si>
    <t xml:space="preserve">     and adopting advanced small gas engines that require low maintenance and reduced product costs.</t>
  </si>
  <si>
    <t xml:space="preserve">•   The construction sector remains one of the most significant end users of small portable engines during the forecast period. </t>
  </si>
  <si>
    <t>•   Moreover, the increasing number of construction project activities globally and concerns related to the environment and economy of the projects are expected to drive the demand for the small gas engine market</t>
  </si>
  <si>
    <t xml:space="preserve">•   Moreover, the fast-paced economic growth, coupled with urbanization activities in the developing nations, such as China, India, and Indonesia, </t>
  </si>
  <si>
    <t xml:space="preserve">     has led to phenomenal growth in the construction industry over the past several years, thus driving the demand for the small gas engine market during the forecast period.</t>
  </si>
  <si>
    <t>Therefore, based on the above-mentioned factors, Asia-Pacific is expected to dominate the global small gas engine market.</t>
  </si>
  <si>
    <t xml:space="preserve">•   The Asia-Pacific region is expected to be one of the significant markets for small gas engines. Due to the rising industrialization and urbanization, major countries in the Asia-Pacific region are witnessing substantial </t>
  </si>
  <si>
    <t xml:space="preserve">   growth in the end-user industries, such as the construction and industrial sector.</t>
  </si>
  <si>
    <t xml:space="preserve">•   According to the Indian government's estimate, the country needs an investment of about USD 4.5 trillion to build sustainable infrastructure by 2040. The Union Budget 2022-23 of India highlights a 35.4% increase in </t>
  </si>
  <si>
    <t xml:space="preserve">  impacting the small gas engines in the construction sector during the forecast period.</t>
  </si>
  <si>
    <t xml:space="preserve">  initiatives are likely to boost the natural gas sector, in turn increasing the adoption of small gas engines in the coming years.​</t>
  </si>
  <si>
    <t xml:space="preserve">•   Major countries in the region are also investing heavily in smart and green buildings. This leads to the need for lawns or gardens to be maintained near buildings. With this, landscaping businesses and countries in the </t>
  </si>
  <si>
    <t xml:space="preserve">  Asia-Pacific region are expected to create demand for outdoor-powered equipment. As the small gas engine offers low maintenance cost, outdoor power equipment is expected to be frequently rented and gain much </t>
  </si>
  <si>
    <t xml:space="preserve">  attention from homeowners. This, in turn, is likely to drive the small gas engine market in Asia-Pacific during the forecast period.</t>
  </si>
  <si>
    <t>The small gas engine market is moderately fragmented. Some of the key players in this market include Briggs &amp; Stratton Corporation, Kohler Co., Honda Motor Co. Ltd, Yamaha Motor Corp., and Kubota Corporation.</t>
  </si>
  <si>
    <t xml:space="preserve">The demand for mainstream products installed with small engines is significantly impacted by unpredictable power-outages that can lead to substantial variations in, and uncertainties regarding, financial results from period </t>
  </si>
  <si>
    <t>to period. Sales of small engines is subject to consumer buying patterns and the demand for a wide range of small engine applications, such as portable generators, which are affected by power outage events caused by</t>
  </si>
  <si>
    <t>blackouts, thunderstorms, hurricanes, storms, and other power grid reliability issues. The impact of these outage events on sales can vary depending on the frequency, location, and severity of the outages. Among city planners</t>
  </si>
  <si>
    <t>and real estate agents, the demand for landscaping in commercial as well as residential areas by dwellers has increased, which directly fuels the demand for small engines.</t>
  </si>
  <si>
    <t>Approximately, more than 60% of people tend to pay more for an apartment or residential space with a gardening area. The demand for landscaping is rising in order to provide an aesthetic appeal to commercial and</t>
  </si>
  <si>
    <t>residential properties. Landscaping benefits include restoring native plants to residential landscapes, adding plants indoors to improve air quality and human productivity.</t>
  </si>
  <si>
    <t>Moreover, gardening/landscaping is a preferred leisure outdoor activity. According to the facts and figures presented by National Gardening Association, more than 90 million U.S. households (27 Million of whose</t>
  </si>
  <si>
    <t>members are over age 54) participate in some type of garden and lawn activity. Most of the gardeners agree that gardening is good for the mind, body, and soul. Thus, the ageing population will also drive the demand for</t>
  </si>
  <si>
    <t>gardening equipment and small engines collectively.</t>
  </si>
  <si>
    <t>The accommodation, hotel and restaurant sector is set to directly benefit from the growth of the tourism industry. Growing consumer preference for environment-friendly accommodations and garden restaurants have led to</t>
  </si>
  <si>
    <t>infrastructural changes that demand outdoor power equipment. This trend is highly likely to augment the demand for outdoor power equipment in the hospitality sector.</t>
  </si>
  <si>
    <t>At a macro-level, volatile market environment, prominence of the online market and the shift in small engine manufacturing to Asia are expected to encourage new sales growth in the small engine market. The growth of</t>
  </si>
  <si>
    <t>small engines used for recreational activities is also expected to remain robust, underpinned by an optimistic growth forecast for regional GDP.</t>
  </si>
  <si>
    <t xml:space="preserve">As GDP growth accelerates, income and consumer confidence levels also rise, which further boosts the demand for small engines. The 101-300 CC segment, expanding at a CAGR of 5.8% over the forecast period, is projected </t>
  </si>
  <si>
    <t>to gain 340 BPS by 2026. The 301-600 segment is pegged to be an attractive segment in terms of market share, owing to the high sales of small engines in North America and Europe.</t>
  </si>
  <si>
    <t>The Outboard Motor Market is segmented by Application Type (commercial and recreational), by Thrust (Portable, mid-range, and high power), and by Geography (North America, Europe, Asia-Pacific, and Rest of the World).</t>
  </si>
  <si>
    <t>The Outboard Motor market is valued at USD 9.39 Billion in 2021 and is expected to reach USD 11.54 Billion by 2027 registering a CAGR of about 3.5%, during the forecast period (2022 – 2027).</t>
  </si>
  <si>
    <t xml:space="preserve">The COVID-19 outbreak had a significant impact on boat manufacturing industry and caused a decline in recreational activities </t>
  </si>
  <si>
    <t xml:space="preserve">around the world which led to the negative effect on outboard motor sales. As the economies are slowly recovering from the pandemic, </t>
  </si>
  <si>
    <t>it is expected that the market would register healthy growth in the coming years.</t>
  </si>
  <si>
    <t xml:space="preserve">Rising watersport and boating activities across the globe is likely to increase the demand for outboard motor. According to the National </t>
  </si>
  <si>
    <t xml:space="preserve">Marine Manufacturers Association U.S. boat sales statistics, retail unit sales of new boats reached nearly 320,000 units in 2020, which in </t>
  </si>
  <si>
    <t>turn is likely to increase the sale of outboard engine and motor. For instance, the global sales of outboard engines increased with a growth</t>
  </si>
  <si>
    <t>rate of around 2% during the last 5 years.</t>
  </si>
  <si>
    <t xml:space="preserve">Newer models that use lesser fuel, are substantially more reliable, are relatively quieter, and those that are more environment-friendly </t>
  </si>
  <si>
    <t>than older generations continue to enter the market. Increase in income levels of people around the world which enables them to spend</t>
  </si>
  <si>
    <t>more on leisure and recreational activities will be a growth driver for the outboard motors market.</t>
  </si>
  <si>
    <t xml:space="preserve">The growing interest of people in outdoor recreational activities and increased participation rates across all age groups for the same are some of </t>
  </si>
  <si>
    <t xml:space="preserve">the major factors driving the recreational boating industry. Watersports are becoming popular not only for the excitement or adrenaline rush of </t>
  </si>
  <si>
    <t>getting fit but also because of several health benefits. As a result, increasing health benefits associated with water sports are supporting market</t>
  </si>
  <si>
    <t>growth worldwide.</t>
  </si>
  <si>
    <t>Rising consumer trend towards efficient motors for fulfilling short haul operations in sailboats and canoe is anticipated to enhance the demand for</t>
  </si>
  <si>
    <t xml:space="preserve"> outboard motors. In 2020, the coronavirus pandemic fueled the surge in recreational boat sales, which is likely to increase the demand for outboard</t>
  </si>
  <si>
    <t>motor and witnessing major growth during the forecast period.</t>
  </si>
  <si>
    <t xml:space="preserve">In 2020, Europe accounted for almost 20% of the worldwide outboard motor industry, given the rising tourism and a significant presence of boat </t>
  </si>
  <si>
    <t xml:space="preserve">manufacturers across the continent. Increased boat show attendance, as well as the introduction of new outboard motors at such events, will promote </t>
  </si>
  <si>
    <t>market growth.</t>
  </si>
  <si>
    <t xml:space="preserve">North America is dominating the outboard motor market in terms of revenue in 2021 owing to high economic growth, rise in </t>
  </si>
  <si>
    <t>disposable income. The increasing income levels and inclination of the people towards recreational growth, rise in disposable</t>
  </si>
  <si>
    <t>income. The increasing income levels and inclination of the people towards recreational and leisure activities is more than</t>
  </si>
  <si>
    <t xml:space="preserve">any other parts of the world. North America hold around 40% outboard engine market share. The USA is the largest single market </t>
  </si>
  <si>
    <t>for outboard engines, with sales of higher-powered outboards (200hp+) growing annually for the last seven years. According to</t>
  </si>
  <si>
    <t>NMMA (National Marine Manufacturers Association) in their annual Outboard Engine Sales Trends report, US outboard engine</t>
  </si>
  <si>
    <t>sales reached a 20-year high in 2020, which records a sale of 310,000 new powerboats in 2020.</t>
  </si>
  <si>
    <t>About 35% of the total population of the United States takes part in recreational boat activities. Due to the growing stress</t>
  </si>
  <si>
    <t xml:space="preserve">management program and health awareness among individuals, more and more people are participating in water sports activities </t>
  </si>
  <si>
    <t xml:space="preserve">for relaxation. The coastline is also very big which transpires to number of beaches and consequently creating more opportunities </t>
  </si>
  <si>
    <t>for the sale of outboard motors.</t>
  </si>
  <si>
    <t xml:space="preserve">The Outboard Motors market is consolidated, with several players accounting for significant amounts of shares in </t>
  </si>
  <si>
    <t xml:space="preserve">the market. Some of the prominent companies in the Outboard Motors market are Yamaha Motor Co, Honda Motors </t>
  </si>
  <si>
    <t>Co. Ltd., Suzuki Motor Corporation, LEHR LLC, Tohatsu Corporation, and others.</t>
  </si>
  <si>
    <t>Stringent emission norms and updated technologies are pushing industry players to invest in R&amp;D projects.</t>
  </si>
  <si>
    <t>One of the significant advantages of Rotapower® engines is the ability to be used in AAM and UAM vehicles. Freedom Motors have exclusivity in providing engines parts and engine technology to Moller International and in variety of its products.</t>
  </si>
  <si>
    <t>Rotapower® engines can also be used in a variety of small to medium unmanned drone applications for building and bridge inspections, medical evac and rescue, surveillance, power transmission lines inspection, military ISR, freight carrier and more.</t>
  </si>
  <si>
    <t>However, they must consider a host of regulatory factors that may slow adoption.</t>
  </si>
  <si>
    <t>1.     By 2025 it will be $17 Billion ($13 Billion Cargo AAM and $4 Billion in Passenger AAM)</t>
  </si>
  <si>
    <t>2.     By 2030 it will be $47 Billion (($30 Billion Cargo AAM and $17 Billion in Passenger AAM)</t>
  </si>
  <si>
    <t>3.     By 2035 it will be $115 Billion (($58 Billion Cargo AAM and $57 Billion in Passenger AAM)</t>
  </si>
  <si>
    <t xml:space="preserve">In addition to equipping cities with alternatives to current commuting options and inter-modal connectivity, AAM can expand access to goods and services and </t>
  </si>
  <si>
    <t xml:space="preserve">lead to job creation through new markets and services. With an estimated 280,000 jobs in 2035, the AAM workforce could represent about 8% of America’s A&amp;D workforce. </t>
  </si>
  <si>
    <t>Of the total 280,000 jobs, 234,000 are expected to be focused on the US domestic market and 46,000 on export markets.</t>
  </si>
  <si>
    <t xml:space="preserve">Four jobs are likely to be created for every million dollars in AAM’s direct sales revenue. Collectively, the industry could pay about US$30 billion in wages and benefits in 2035. </t>
  </si>
  <si>
    <t>These jobs could provide higher-than-average compensation and support their local communities. The AAM industry could contribute US$8 billion in taxes by 2035,</t>
  </si>
  <si>
    <t>US$6 billion in federal tax revenue and US$2 billion in state and local tax revenue. The US economy could also generate US$20 billion in AAM exports by 2035.</t>
  </si>
  <si>
    <t xml:space="preserve">Six in 10 industry leaders believe that AAM will be a more sustainable and environmentally friendly solution to transportation. More than half of interviewed industry executives </t>
  </si>
  <si>
    <t>believe that beyond 2035, more than 16% of passengers using private and public transportation today will likely use AAM for commercial passenger mobility.</t>
  </si>
  <si>
    <t xml:space="preserve">Freedom Motors is focused on the small engines market. The small gas engine market is expected to witness a CAGR of more than 4 % during the forecast period, 2022-2027. </t>
  </si>
  <si>
    <t>(1)</t>
  </si>
  <si>
    <t>(2)</t>
  </si>
  <si>
    <t>(3)</t>
  </si>
  <si>
    <t xml:space="preserve">The (ICE) market is segmented on the basis of fuel, end-use and application. The growth amongst these segments will help analyze growth segments in the industries and provide a valuable market overview and market insights. </t>
  </si>
  <si>
    <t>product is increasing across the industry such as agriculture, construction, mining, and power generation. The lack of EV infrastructure availability worldwide is also responsible for the uptake of the ICE market.</t>
  </si>
  <si>
    <t>Industries where the IC engines (2 and 4 stroke) that are poised to have a modest CAGR gain are</t>
  </si>
  <si>
    <t>1.     Industrial</t>
  </si>
  <si>
    <t>2.     Construction</t>
  </si>
  <si>
    <t>3.     Marine</t>
  </si>
  <si>
    <t>4.     Agricultural</t>
  </si>
  <si>
    <t>5.     Gardening</t>
  </si>
  <si>
    <t>6.     Generators</t>
  </si>
  <si>
    <t>7.     Motorcycles</t>
  </si>
  <si>
    <t>8.     Recreational Products</t>
  </si>
  <si>
    <t>9.     Automobiles/Trucks</t>
  </si>
  <si>
    <t>10.  Military</t>
  </si>
  <si>
    <t>In addition to these there are emerging markets like Electric Vehicles (EV) range extenders and Advanced Air Mobility (AAM) or Urban Air Mobility (UAM).</t>
  </si>
  <si>
    <t xml:space="preserve">The study laid out the worldwide engine production for automotive and non-automotive purposes and further categorized it by application. </t>
  </si>
  <si>
    <t xml:space="preserve">This study concluded that the Rotapower® engines have a significant advantage over the 2 and 4 stroke IC engines specifically in the non-automotive category. </t>
  </si>
  <si>
    <t>The competitive tech. advantages are articulated in this document in a separate sheet.</t>
  </si>
  <si>
    <t>Freedom Motors has done extensive study jointly working with JP Morgan and KPMG to seek TAM data in order to develop a Regulation A document.</t>
  </si>
  <si>
    <t xml:space="preserve">Chinese products available at lower prices but are of low quality. This price war has forced manufacturers to a point where they have lost the ability to sell their engines at a premium. </t>
  </si>
  <si>
    <t>Competing Engine Attributes</t>
  </si>
  <si>
    <t>1. Compact design</t>
  </si>
  <si>
    <t>2. Fewer parts</t>
  </si>
  <si>
    <t>3. Power to weight ratio</t>
  </si>
  <si>
    <t xml:space="preserve">and yet more powerful. Being smaller in size with fewer parts provides significant </t>
  </si>
  <si>
    <t>advantage in reduced costs for manufacturing.</t>
  </si>
  <si>
    <t>Rotapower® engines a compact in nature compared to traditional piston engines</t>
  </si>
  <si>
    <t xml:space="preserve">The Rotapower® rotary engine combines the </t>
  </si>
  <si>
    <t xml:space="preserve">attributes of both the two and four-stroke </t>
  </si>
  <si>
    <t>piston engines in a low cost design.</t>
  </si>
  <si>
    <t>• Only 2 moving parts in a single rotor 4-stroke Rotapower® engine. Compares to 7 parts for 2-stroke and 24 parts for a 4- stroke piston engine with a similar instantaneous output torque.</t>
  </si>
  <si>
    <t xml:space="preserve">Only 2 moving parts in a single rotor 4-stroke Rotapower® engine. </t>
  </si>
  <si>
    <t xml:space="preserve">Compares to 7 parts for 2-stroke and 24 parts for a 4- stroke piston </t>
  </si>
  <si>
    <t>engine with a similar instantaneous output torque.</t>
  </si>
  <si>
    <t xml:space="preserve">Rotapower® engines achieve a power-to-weight ratio that is three times higher than its nearest competitor. </t>
  </si>
  <si>
    <t xml:space="preserve">In recent tests observed by CARB, the Rotapower® engine produced 3 g/hp-hr of combined HC and NOx emissions. </t>
  </si>
  <si>
    <t xml:space="preserve">This compares with over 300 g/hp-hr for carbureted two-stroke engines and 40 g/hp-hr for direct injected two-strokes. </t>
  </si>
  <si>
    <t xml:space="preserve">      </t>
  </si>
  <si>
    <t xml:space="preserve">While the Rotapower produced negligible amounts of particulates, the direct injected two-stroke produced large </t>
  </si>
  <si>
    <t xml:space="preserve">quantities of carcinogenic particulates. Measured CO emissions from the Rotapower engine were .07% of those from </t>
  </si>
  <si>
    <t>the two-stroke engine.</t>
  </si>
  <si>
    <t>The Rotapower® engine has only rotary motion (like the turbine engine) and, with perfect balance, is free from vibration.</t>
  </si>
  <si>
    <t>The best commercial two-stroke engines achieve a specific fuel consumption of .6 lb/hp-hr. Tests to date have shown the</t>
  </si>
  <si>
    <t xml:space="preserve"> Rotapower® engine using less than .43 lbs./hp-hr. In order to preserve the exhaust valve life, small four-stroke piston engines </t>
  </si>
  <si>
    <t xml:space="preserve">use a rich fuel-air mixture running typically at close to .6 lb/hp-hr. The Rotapower® engine's freedom from valves allows it to </t>
  </si>
  <si>
    <t>run well at very lean mixtures, which in addition to lower fuel consumption, also helps lower emissions.</t>
  </si>
  <si>
    <t>a). Honda</t>
  </si>
  <si>
    <t>b). Yamaha</t>
  </si>
  <si>
    <t>c). Kohler</t>
  </si>
  <si>
    <t>d). Briggs &amp; Stratton</t>
  </si>
  <si>
    <t>e). Kubota</t>
  </si>
  <si>
    <t>Horsepower</t>
  </si>
  <si>
    <t>Market Price (including Chinese)</t>
  </si>
  <si>
    <t>Top 5 Brands (Average price)</t>
  </si>
  <si>
    <t>1-3 HP</t>
  </si>
  <si>
    <t>$200 - $400</t>
  </si>
  <si>
    <t>10-15 HP</t>
  </si>
  <si>
    <t>$500 - $1,300</t>
  </si>
  <si>
    <t>25-30 HP</t>
  </si>
  <si>
    <t>$1,900 - $2,600</t>
  </si>
  <si>
    <t>35-40 HP</t>
  </si>
  <si>
    <t>$2,000 – 3,600</t>
  </si>
  <si>
    <t>Three models (27cc, 150cc, and 530cc covers the entire range of power up to 40 HP)</t>
  </si>
  <si>
    <r>
      <t xml:space="preserve">Sale price of 27cc engine is set at </t>
    </r>
    <r>
      <rPr>
        <b/>
        <sz val="11"/>
        <color theme="1"/>
        <rFont val="Aptos"/>
        <family val="2"/>
      </rPr>
      <t>$400</t>
    </r>
    <r>
      <rPr>
        <sz val="11"/>
        <color theme="1"/>
        <rFont val="Aptos"/>
        <family val="2"/>
      </rPr>
      <t xml:space="preserve"> (Power produced up to 3 HP)</t>
    </r>
  </si>
  <si>
    <r>
      <t xml:space="preserve">Sale price of 150cc engine is set at </t>
    </r>
    <r>
      <rPr>
        <b/>
        <sz val="11"/>
        <color theme="1"/>
        <rFont val="Aptos"/>
        <family val="2"/>
      </rPr>
      <t>$1,020</t>
    </r>
    <r>
      <rPr>
        <sz val="11"/>
        <color theme="1"/>
        <rFont val="Aptos"/>
        <family val="2"/>
      </rPr>
      <t xml:space="preserve"> (Power produced up to 18 HP)</t>
    </r>
  </si>
  <si>
    <r>
      <t xml:space="preserve">Sale price of 530cc engine is set at </t>
    </r>
    <r>
      <rPr>
        <b/>
        <sz val="11"/>
        <color theme="1"/>
        <rFont val="Aptos"/>
        <family val="2"/>
      </rPr>
      <t>$2,380</t>
    </r>
    <r>
      <rPr>
        <sz val="11"/>
        <color theme="1"/>
        <rFont val="Aptos"/>
        <family val="2"/>
      </rPr>
      <t xml:space="preserve"> (Power produced up to 40 HP)</t>
    </r>
  </si>
  <si>
    <r>
      <rPr>
        <b/>
        <sz val="11"/>
        <color theme="1"/>
        <rFont val="Aptos"/>
        <family val="2"/>
      </rPr>
      <t xml:space="preserve">1. </t>
    </r>
    <r>
      <rPr>
        <sz val="11"/>
        <color theme="1"/>
        <rFont val="Aptos"/>
        <family val="2"/>
      </rPr>
      <t>Typically small engine in the market are available up to 35 to 40 HP</t>
    </r>
  </si>
  <si>
    <r>
      <rPr>
        <b/>
        <sz val="11"/>
        <color theme="1"/>
        <rFont val="Aptos"/>
        <family val="2"/>
      </rPr>
      <t xml:space="preserve">2. </t>
    </r>
    <r>
      <rPr>
        <sz val="11"/>
        <color theme="1"/>
        <rFont val="Aptos"/>
        <family val="2"/>
      </rPr>
      <t>Based on the market study the top 5 brands in the market are</t>
    </r>
  </si>
  <si>
    <r>
      <rPr>
        <b/>
        <sz val="11"/>
        <color theme="1"/>
        <rFont val="Aptos"/>
        <family val="2"/>
      </rPr>
      <t xml:space="preserve">3. </t>
    </r>
    <r>
      <rPr>
        <sz val="11"/>
        <color theme="1"/>
        <rFont val="Aptos"/>
        <family val="2"/>
      </rPr>
      <t>A comprehensive pricing analysis in the US market yielded the following results</t>
    </r>
  </si>
  <si>
    <r>
      <rPr>
        <b/>
        <sz val="11"/>
        <color theme="1"/>
        <rFont val="Aptos"/>
        <family val="2"/>
      </rPr>
      <t xml:space="preserve">4. </t>
    </r>
    <r>
      <rPr>
        <sz val="11"/>
        <color theme="1"/>
        <rFont val="Aptos"/>
        <family val="2"/>
      </rPr>
      <t xml:space="preserve"> Rotapower® engine pricing is determined in a separate sheet</t>
    </r>
  </si>
  <si>
    <t xml:space="preserve">  with just 38% more manufacturing cost. </t>
  </si>
  <si>
    <r>
      <rPr>
        <b/>
        <sz val="11"/>
        <color theme="1"/>
        <rFont val="Aptos"/>
        <family val="2"/>
      </rPr>
      <t xml:space="preserve">5. </t>
    </r>
    <r>
      <rPr>
        <sz val="11"/>
        <color theme="1"/>
        <rFont val="Aptos"/>
        <family val="2"/>
      </rPr>
      <t xml:space="preserve">Rotapower® engines have modular design. Doubling power to the engine is as easy a adding a rotor </t>
    </r>
  </si>
  <si>
    <r>
      <rPr>
        <b/>
        <sz val="11"/>
        <color theme="1"/>
        <rFont val="Aptos"/>
        <family val="2"/>
      </rPr>
      <t>6.</t>
    </r>
    <r>
      <rPr>
        <sz val="11"/>
        <color theme="1"/>
        <rFont val="Aptos"/>
        <family val="2"/>
      </rPr>
      <t xml:space="preserve"> For example the sale price of 1- rotor 530cc is </t>
    </r>
    <r>
      <rPr>
        <b/>
        <sz val="11"/>
        <color theme="1"/>
        <rFont val="Aptos"/>
        <family val="2"/>
      </rPr>
      <t>$2,380</t>
    </r>
    <r>
      <rPr>
        <sz val="11"/>
        <color theme="1"/>
        <rFont val="Aptos"/>
        <family val="2"/>
      </rPr>
      <t xml:space="preserve"> and a 2-rotor 530cc (1,060cc) is </t>
    </r>
    <r>
      <rPr>
        <b/>
        <sz val="11"/>
        <color theme="1"/>
        <rFont val="Aptos"/>
        <family val="2"/>
      </rPr>
      <t>$3,570</t>
    </r>
  </si>
  <si>
    <r>
      <rPr>
        <b/>
        <sz val="11"/>
        <color theme="1"/>
        <rFont val="Aptos"/>
        <family val="2"/>
      </rPr>
      <t>7.</t>
    </r>
    <r>
      <rPr>
        <sz val="11"/>
        <color theme="1"/>
        <rFont val="Aptos"/>
        <family val="2"/>
      </rPr>
      <t xml:space="preserve"> 1-rotor 530cc produces 40 HP (peak 60 HP) whereas 2-rotor 530cc produces 80 HP (peak 120 HP)</t>
    </r>
  </si>
  <si>
    <r>
      <rPr>
        <b/>
        <sz val="11"/>
        <color theme="1"/>
        <rFont val="Aptos"/>
        <family val="2"/>
      </rPr>
      <t xml:space="preserve">8. </t>
    </r>
    <r>
      <rPr>
        <sz val="11"/>
        <color theme="1"/>
        <rFont val="Aptos"/>
        <family val="2"/>
      </rPr>
      <t>1-rotor 650cc engine manufacturing costs is estimated to be 20% higher than 1-rotor 530cc</t>
    </r>
  </si>
  <si>
    <r>
      <rPr>
        <b/>
        <sz val="11"/>
        <color theme="1"/>
        <rFont val="Aptos"/>
        <family val="2"/>
      </rPr>
      <t xml:space="preserve">9. </t>
    </r>
    <r>
      <rPr>
        <sz val="11"/>
        <color theme="1"/>
        <rFont val="Aptos"/>
        <family val="2"/>
      </rPr>
      <t>1-rotor 650cc is capable of producing 60 HP (peak 80 HP)</t>
    </r>
  </si>
  <si>
    <t>Serviceable Available Market (SAM)</t>
  </si>
  <si>
    <t>Total Available Market (TAM)</t>
  </si>
  <si>
    <t>Serviceable Obtainable Market (SOM)</t>
  </si>
  <si>
    <t>FM plans to enter the market globally and in all industries referred above. Therefore the targeted SAM for FM is same as the TAM</t>
  </si>
  <si>
    <t>Based on the Market Study and Competitive analysis, FM's SOM will be</t>
  </si>
  <si>
    <t>1. Small engines market</t>
  </si>
  <si>
    <t>3. Advanced Air Mobility (AAM) market</t>
  </si>
  <si>
    <t>2. Outboard motor market</t>
  </si>
  <si>
    <t>4. FM will be dominant in the emerging market of "Range Extenders"</t>
  </si>
  <si>
    <t>PRICING COMPARISON (Small Engine Market)</t>
  </si>
  <si>
    <t>PRICING COMPARISON (Aircraft and Drone Market)</t>
  </si>
  <si>
    <r>
      <t>1.</t>
    </r>
    <r>
      <rPr>
        <sz val="11"/>
        <color theme="1"/>
        <rFont val="Aptos"/>
        <family val="2"/>
      </rPr>
      <t xml:space="preserve"> Various attributes of Rotapower</t>
    </r>
    <r>
      <rPr>
        <b/>
        <sz val="11"/>
        <color theme="1"/>
        <rFont val="Aptos"/>
        <family val="2"/>
      </rPr>
      <t xml:space="preserve">® </t>
    </r>
    <r>
      <rPr>
        <sz val="11"/>
        <color theme="1"/>
        <rFont val="Aptos"/>
        <family val="2"/>
      </rPr>
      <t>engine (4 and 5-stroke) are compared with best in current market Rotax 912 ULS engine.</t>
    </r>
  </si>
  <si>
    <r>
      <t>2.</t>
    </r>
    <r>
      <rPr>
        <sz val="11"/>
        <color theme="1"/>
        <rFont val="Aptos"/>
        <family val="2"/>
      </rPr>
      <t xml:space="preserve"> Pricing Information of various Rotax engines from Leading Edge Air Foils is below</t>
    </r>
  </si>
  <si>
    <t xml:space="preserve"> Rotapower® 4-Stroke engine price per HP is $50</t>
  </si>
  <si>
    <t xml:space="preserve"> Rotapower® 5-Stroke engine price per HP is $85</t>
  </si>
  <si>
    <t>PRICING COMPARISON (Marine Engine Market)</t>
  </si>
  <si>
    <r>
      <t xml:space="preserve">1. </t>
    </r>
    <r>
      <rPr>
        <sz val="11"/>
        <color theme="1"/>
        <rFont val="Aptos"/>
        <family val="2"/>
      </rPr>
      <t xml:space="preserve">To make the comparison more accurate, here we take their small outboard models with similar horsepower ratings </t>
    </r>
  </si>
  <si>
    <t>(2.5 HP/3HP/3.5HP) as examples which can indicate their price levels overall.</t>
  </si>
  <si>
    <r>
      <rPr>
        <b/>
        <sz val="11"/>
        <color theme="1"/>
        <rFont val="Aptos"/>
        <family val="2"/>
      </rPr>
      <t>2.</t>
    </r>
    <r>
      <rPr>
        <sz val="11"/>
        <color theme="1"/>
        <rFont val="Aptos"/>
        <family val="2"/>
      </rPr>
      <t xml:space="preserve"> Outboard engines cost per HP</t>
    </r>
  </si>
  <si>
    <t xml:space="preserve">Based on the average prices of some of the most popular outboard models from Evinrude, Honda, Mercury, </t>
  </si>
  <si>
    <t>Suzuki and Yamaha, etc</t>
  </si>
  <si>
    <r>
      <t xml:space="preserve">1. </t>
    </r>
    <r>
      <rPr>
        <sz val="11"/>
        <color theme="1"/>
        <rFont val="Aptos"/>
        <family val="2"/>
      </rPr>
      <t>The first CoGS analysis was conducted under a US Government contract with the Department of Defense</t>
    </r>
  </si>
  <si>
    <r>
      <t xml:space="preserve">2. </t>
    </r>
    <r>
      <rPr>
        <sz val="11"/>
        <color theme="1"/>
        <rFont val="Aptos"/>
        <family val="2"/>
      </rPr>
      <t>A comprehensive analysis was under taken by Freedom Motors, Inc. to determine the CoGS based on engine models</t>
    </r>
  </si>
  <si>
    <t>cost, inflation and other factors.</t>
  </si>
  <si>
    <r>
      <t xml:space="preserve">3. </t>
    </r>
    <r>
      <rPr>
        <sz val="11"/>
        <color theme="1"/>
        <rFont val="Aptos"/>
        <family val="2"/>
      </rPr>
      <t>The plan was to manufacture only 3 models (150cc, 530cc, 1060cc)</t>
    </r>
    <r>
      <rPr>
        <b/>
        <sz val="11"/>
        <color theme="1"/>
        <rFont val="Aptos"/>
        <family val="2"/>
      </rPr>
      <t xml:space="preserve"> </t>
    </r>
    <r>
      <rPr>
        <sz val="11"/>
        <color theme="1"/>
        <rFont val="Aptos"/>
        <family val="2"/>
      </rPr>
      <t>with year to year total engines produced</t>
    </r>
  </si>
  <si>
    <t>Hiring Plan</t>
  </si>
  <si>
    <r>
      <t xml:space="preserve">1. </t>
    </r>
    <r>
      <rPr>
        <sz val="11"/>
        <color theme="1"/>
        <rFont val="Aptos"/>
        <family val="2"/>
      </rPr>
      <t>Freedom Motors first order of business is to reach out to the several ex-employees who have shown tremendous interest in coming back.</t>
    </r>
  </si>
  <si>
    <r>
      <t xml:space="preserve">2. </t>
    </r>
    <r>
      <rPr>
        <sz val="11"/>
        <color theme="1"/>
        <rFont val="Aptos"/>
        <family val="2"/>
      </rPr>
      <t>Freedom Motors plans to contract several entities like Monster, ZipRecruiter, Indeed, and others for technical jobs</t>
    </r>
  </si>
  <si>
    <r>
      <t xml:space="preserve">3. </t>
    </r>
    <r>
      <rPr>
        <sz val="11"/>
        <color theme="1"/>
        <rFont val="Aptos"/>
        <family val="2"/>
      </rPr>
      <t>For all non-technical positions, Freedom Motors plans to contract Vaco Partners for recruitment</t>
    </r>
  </si>
  <si>
    <r>
      <t xml:space="preserve">4. </t>
    </r>
    <r>
      <rPr>
        <sz val="11"/>
        <color theme="1"/>
        <rFont val="Aptos"/>
        <family val="2"/>
      </rPr>
      <t>Freedom Motors plans to use PEO (Professional Employer Organization) like CoAdvantage in order to meet the following service</t>
    </r>
  </si>
  <si>
    <t>a). Payroll</t>
  </si>
  <si>
    <t>b). Health Insurance</t>
  </si>
  <si>
    <t>c). Libility Insurance</t>
  </si>
  <si>
    <t>d). EEOC</t>
  </si>
  <si>
    <t>e). Employee benefits</t>
  </si>
  <si>
    <t>f). HR Issues</t>
  </si>
  <si>
    <r>
      <t xml:space="preserve">5. </t>
    </r>
    <r>
      <rPr>
        <sz val="11"/>
        <color theme="1"/>
        <rFont val="Aptos"/>
        <family val="2"/>
      </rPr>
      <t xml:space="preserve"> In order to interface with the employees, Freedom Motors will hire two HR employees who would also liaison with the PEO</t>
    </r>
  </si>
  <si>
    <t>Single Rotor 27cc</t>
  </si>
  <si>
    <t>Single Rotor 650cc</t>
  </si>
  <si>
    <t>Sales Revenue - Single Rotor 27cc</t>
  </si>
  <si>
    <t>Sales Revenue - Single Rotor 650cc</t>
  </si>
  <si>
    <t>Total Cost of Goods (CoG) - Single Rotor 27cc</t>
  </si>
  <si>
    <t>Total Cost of Goods - Single Rotor 150cc</t>
  </si>
  <si>
    <t>Total Cost of Goods - Single Rotor 650cc</t>
  </si>
  <si>
    <r>
      <rPr>
        <b/>
        <sz val="11"/>
        <color theme="1"/>
        <rFont val="Aptos"/>
        <family val="2"/>
      </rPr>
      <t xml:space="preserve">4. </t>
    </r>
    <r>
      <rPr>
        <sz val="11"/>
        <color theme="1"/>
        <rFont val="Aptos"/>
        <family val="2"/>
      </rPr>
      <t>Most of the manufacturing was planned to be outsourced and about 12-16% done in-house. This plan reduced the initial</t>
    </r>
  </si>
  <si>
    <t>investment burden. After the 5th year the outsourced tasks were planned to be moved in house.</t>
  </si>
  <si>
    <r>
      <t xml:space="preserve">5. </t>
    </r>
    <r>
      <rPr>
        <sz val="11"/>
        <color theme="1"/>
        <rFont val="Aptos"/>
        <family val="2"/>
      </rPr>
      <t>Later, Freedom Motors, Inc. worked with Exemplar Capital to update the costs based on current salaries, raw materials</t>
    </r>
  </si>
  <si>
    <r>
      <t xml:space="preserve">6. </t>
    </r>
    <r>
      <rPr>
        <sz val="11"/>
        <color theme="1"/>
        <rFont val="Aptos"/>
        <family val="2"/>
      </rPr>
      <t>CoGS inefficiences were added in order to compensate for fluctuating commodities market and other factors</t>
    </r>
  </si>
  <si>
    <t>27cc</t>
  </si>
  <si>
    <t>650cc</t>
  </si>
  <si>
    <t>Anticipated Orders</t>
  </si>
  <si>
    <t xml:space="preserve">Yealry Costs Estimated for Employees on the Ogr. Chart: </t>
  </si>
  <si>
    <t>OneH2 Corp</t>
  </si>
  <si>
    <t>3 years</t>
  </si>
  <si>
    <t>Click on the desired links for Tabs to Review</t>
  </si>
  <si>
    <t>Executive Summary:</t>
  </si>
  <si>
    <t>There are two multi-trillion-dollar world markets where the extraordinary power to weight ratio of the Rotapower® rotary engine is uniquely viable.</t>
  </si>
  <si>
    <t xml:space="preserve">Air taxi market. Morgan Stanley predicts that the advanced air mobility (AAM) market will total $1.5 trillion by 2040 and $9 trillion by 2050. </t>
  </si>
  <si>
    <t>The Air Taxi Challenge:</t>
  </si>
  <si>
    <t xml:space="preserve"> </t>
  </si>
  <si>
    <r>
      <rPr>
        <b/>
        <sz val="12"/>
        <color theme="1"/>
        <rFont val="Aptos"/>
        <family val="2"/>
      </rPr>
      <t>Portable engine market.</t>
    </r>
    <r>
      <rPr>
        <sz val="12"/>
        <color theme="1"/>
        <rFont val="Aptos"/>
        <family val="2"/>
      </rPr>
      <t xml:space="preserve"> Over 165 million non-automotive engines are produced annually worldwide. Most original equipment manufacturers (OEM’s) </t>
    </r>
  </si>
  <si>
    <t>consider power to weight ratio their most important engine requirement.</t>
  </si>
  <si>
    <t xml:space="preserve">a single power plant to safely tolerate a power plant failure, It requires the power plant to have a high power to weight and power to volume ratio. During </t>
  </si>
  <si>
    <t xml:space="preserve">vertical takeoff and landing (VTOL) even a one passenger air taxi weighing 1000 pounds requires over 450 horsepower. Batteries and electric motors working </t>
  </si>
  <si>
    <t xml:space="preserve">together have the necessary high power to weight ratio needed for VTOL, but batteries possess a very low energy per pound. Consequently, a battery </t>
  </si>
  <si>
    <t>pound which eliminates its use during VTOL.</t>
  </si>
  <si>
    <r>
      <t xml:space="preserve">different problem. </t>
    </r>
    <r>
      <rPr>
        <b/>
        <sz val="12"/>
        <color theme="1"/>
        <rFont val="Aptos"/>
        <family val="2"/>
      </rPr>
      <t>Fuel has fifty times more energy per pound than a battery, however the lightest piston engine produces less than one horsepower per</t>
    </r>
    <r>
      <rPr>
        <sz val="12"/>
        <color theme="1"/>
        <rFont val="Aptos"/>
        <family val="2"/>
      </rPr>
      <t xml:space="preserve"> </t>
    </r>
  </si>
  <si>
    <t xml:space="preserve">In 1967 a revolutionary new engine was invented in Germany by Dr Felix Wankel. A number of these Wankel rotary engines were acquired by Moller Corporation </t>
  </si>
  <si>
    <t xml:space="preserve">(predecessor to MoIler International (MI) and Freedom Motors (FM)) since they appeared uniquely adaptable as a power plant to be used with distributed propulsion. </t>
  </si>
  <si>
    <t xml:space="preserve">air taxi and engine development as well as the production of various prototypes. Highly modified versions of the German Wankel engines were able to produce 1.4 </t>
  </si>
  <si>
    <t>horsepower per pound by 1982 with a power to volume ratio 7 times higher than piston engines.</t>
  </si>
  <si>
    <r>
      <t xml:space="preserve">This engine was very under-developed but despite this, its power to weight ratio exceeded that of the lightest piston engine. </t>
    </r>
    <r>
      <rPr>
        <b/>
        <sz val="12"/>
        <color theme="1"/>
        <rFont val="Aptos"/>
        <family val="2"/>
      </rPr>
      <t xml:space="preserve">It also had a very high power to volume </t>
    </r>
  </si>
  <si>
    <r>
      <rPr>
        <b/>
        <sz val="12"/>
        <color theme="1"/>
        <rFont val="Aptos"/>
        <family val="2"/>
      </rPr>
      <t xml:space="preserve">ratio which is a critical requirement for use with distribution propulsion. </t>
    </r>
    <r>
      <rPr>
        <sz val="12"/>
        <color theme="1"/>
        <rFont val="Aptos"/>
        <family val="2"/>
      </rPr>
      <t xml:space="preserve"> In the following years, Moller Corporation created a number of products that helped fund its </t>
    </r>
  </si>
  <si>
    <t>Moller International:</t>
  </si>
  <si>
    <r>
      <t xml:space="preserve">Moller International was created in 1983 to design, develop, manufacture and market personal vertical takeoff and landing (VTOL) aircraft now referred to as air taxis. </t>
    </r>
    <r>
      <rPr>
        <b/>
        <sz val="12"/>
        <color theme="1"/>
        <rFont val="Aptos"/>
        <family val="2"/>
      </rPr>
      <t>To</t>
    </r>
    <r>
      <rPr>
        <sz val="12"/>
        <color theme="1"/>
        <rFont val="Aptos"/>
        <family val="2"/>
      </rPr>
      <t xml:space="preserve"> </t>
    </r>
  </si>
  <si>
    <t xml:space="preserve">accelerate its engine development and production, MI was able to acquire the entire rotary engine assets of Outboard Marine Corporation (OMC), the only company  </t>
  </si>
  <si>
    <r>
      <rPr>
        <b/>
        <sz val="12"/>
        <color theme="1"/>
        <rFont val="Aptos"/>
        <family val="2"/>
      </rPr>
      <t>besides Mazda Motors to put a Wankel rotary engine into volume production.</t>
    </r>
    <r>
      <rPr>
        <sz val="12"/>
        <color theme="1"/>
        <rFont val="Aptos"/>
        <family val="2"/>
      </rPr>
      <t xml:space="preserve">  Acquired assets included production tooling, IP library and a large inventory of engines and </t>
    </r>
  </si>
  <si>
    <t xml:space="preserve">parts. MI was also able to acquire the rotary engine assets of General Motors Corporation. (GMC) and those of Infinite Engine Company (IEC).  In effect MI was able to acquire </t>
  </si>
  <si>
    <t>the entire rotary engine assets of the only three companies in America that had developed or put rotary engines into production.</t>
  </si>
  <si>
    <t xml:space="preserve">The OMC rotary engine was a cost competitive recreational engine with a projected life of 500 hours.  Collectively it had run for millions of hours with many engines exceeding </t>
  </si>
  <si>
    <t xml:space="preserve">1000 hours. This 530cc engine became the foundation on which the MI Rotapower® rotary engine was built. MI continued the development and integration of numerous technologies </t>
  </si>
  <si>
    <t xml:space="preserve">required to produce a variety of air taxi configurations through electronic stabilization and control systems, efficient ducted fan designs, thrust vectoring mechanisms and aerodynamically </t>
  </si>
  <si>
    <r>
      <t xml:space="preserve">stable composite airframes.  </t>
    </r>
    <r>
      <rPr>
        <b/>
        <sz val="12"/>
        <color theme="1"/>
        <rFont val="Aptos"/>
        <family val="2"/>
      </rPr>
      <t>In 1989 MI demonstrated the world’s first distributed propulsion air taxi before the international press.</t>
    </r>
    <r>
      <rPr>
        <sz val="12"/>
        <color theme="1"/>
        <rFont val="Aptos"/>
        <family val="2"/>
      </rPr>
      <t xml:space="preserve"> It was powered by eight highly modified OMC </t>
    </r>
  </si>
  <si>
    <t>engines producing over two horsepower per pound. This was followed in 2003 by a demonstration of its four passenger Skycar® 400 configuration, a more marketable air taxi.</t>
  </si>
  <si>
    <t>MI remains the only company to have demonstrated air taxis using distributed propulsion powered by engines.</t>
  </si>
  <si>
    <r>
      <rPr>
        <b/>
        <sz val="12"/>
        <color theme="1"/>
        <rFont val="Aptos"/>
        <family val="2"/>
      </rPr>
      <t>The opportunity.</t>
    </r>
    <r>
      <rPr>
        <sz val="12"/>
        <color theme="1"/>
        <rFont val="Aptos"/>
        <family val="2"/>
      </rPr>
      <t xml:space="preserve"> In 2023 over $ 4 billion was spent on the development of five to seven passenger air taxis and this is expected to double in 2024.  Five to seven passenger air taxis </t>
    </r>
  </si>
  <si>
    <t xml:space="preserve">must be FAA certified under Part 21. This can be expected to take many years and billions of dollars per model while this size air taxi is only useful in a ridesharing role on dedicated </t>
  </si>
  <si>
    <t xml:space="preserve">routes such as hotel to airport. At $7.5 to $ 10 million cost per air taxi, each trip will cost at least $5 per passenger mile. Ridesharing air taxis will not be a significant contributor to </t>
  </si>
  <si>
    <t xml:space="preserve">carries a declining 9%. It is therefore reasonable to assume that one and two passenger autonomous air taxis will dominate this future market. The FAA provides a much </t>
  </si>
  <si>
    <t>for installing compound 5-stroke Rotapower® engines that are in  development by FM.</t>
  </si>
  <si>
    <t>Freedom Motors:</t>
  </si>
  <si>
    <t xml:space="preserve">During the 1990s it became apparent that there was a substantial market for an engine with the attributes of the Rotapower® rotary engine for many applications in addition to air taxis. </t>
  </si>
  <si>
    <t xml:space="preserve">In 1997 Freedom Motors became a division of MI with exclusive rights to manufacture and market the Rotapower® engine for all applications except aircraft and ducted fans. In 2001 it </t>
  </si>
  <si>
    <t>became a separate C corporation.</t>
  </si>
  <si>
    <t xml:space="preserve">Worldwide production of engines totals over 250 million per year. For over 60% of this engine market, power to weight ratio is the top priority   This includes portable power equipment, </t>
  </si>
  <si>
    <t>gensets, drones, motor scooters/ motorcycles and recreational vehicles such as boats, snowmobiles, and all-terrain vehicles.</t>
  </si>
  <si>
    <r>
      <rPr>
        <b/>
        <sz val="12"/>
        <color theme="1"/>
        <rFont val="Aptos"/>
        <family val="2"/>
      </rPr>
      <t>1.</t>
    </r>
    <r>
      <rPr>
        <sz val="12"/>
        <color theme="1"/>
        <rFont val="Aptos"/>
        <family val="2"/>
      </rPr>
      <t xml:space="preserve"> Power to weight ratio over three times higher than the lightest 4-stroke piston engine currently available in the market. </t>
    </r>
  </si>
  <si>
    <r>
      <rPr>
        <b/>
        <sz val="12"/>
        <color theme="1"/>
        <rFont val="Aptos"/>
        <family val="2"/>
      </rPr>
      <t>2.</t>
    </r>
    <r>
      <rPr>
        <sz val="12"/>
        <color theme="1"/>
        <rFont val="Aptos"/>
        <family val="2"/>
      </rPr>
      <t xml:space="preserve"> Power to volume ratio that is nine times higher than the lightest 4-stroke piston engine currently available in the market.</t>
    </r>
  </si>
  <si>
    <r>
      <rPr>
        <b/>
        <sz val="12"/>
        <color theme="1"/>
        <rFont val="Aptos"/>
        <family val="2"/>
      </rPr>
      <t>3.</t>
    </r>
    <r>
      <rPr>
        <sz val="12"/>
        <color theme="1"/>
        <rFont val="Aptos"/>
        <family val="2"/>
      </rPr>
      <t xml:space="preserve"> Freedom from vibration.</t>
    </r>
  </si>
  <si>
    <r>
      <rPr>
        <b/>
        <sz val="12"/>
        <color theme="1"/>
        <rFont val="Aptos"/>
        <family val="2"/>
      </rPr>
      <t>4.</t>
    </r>
    <r>
      <rPr>
        <sz val="12"/>
        <color theme="1"/>
        <rFont val="Aptos"/>
        <family val="2"/>
      </rPr>
      <t xml:space="preserve"> Meets California ultra-low emission standard.</t>
    </r>
  </si>
  <si>
    <r>
      <rPr>
        <b/>
        <sz val="12"/>
        <color theme="1"/>
        <rFont val="Aptos"/>
        <family val="2"/>
      </rPr>
      <t>5.</t>
    </r>
    <r>
      <rPr>
        <sz val="12"/>
        <color theme="1"/>
        <rFont val="Aptos"/>
        <family val="2"/>
      </rPr>
      <t xml:space="preserve"> Has only two moving parts versus twenty-four in a 4-stroke piston engine. </t>
    </r>
  </si>
  <si>
    <r>
      <rPr>
        <b/>
        <sz val="12"/>
        <color theme="1"/>
        <rFont val="Aptos"/>
        <family val="2"/>
      </rPr>
      <t>6.</t>
    </r>
    <r>
      <rPr>
        <sz val="12"/>
        <color theme="1"/>
        <rFont val="Aptos"/>
        <family val="2"/>
      </rPr>
      <t xml:space="preserve"> Carbon neutral when consuming numerous fuels like methanol and ethanol and carbon free with hydrogen and ammonia.</t>
    </r>
  </si>
  <si>
    <r>
      <rPr>
        <b/>
        <sz val="12"/>
        <color theme="1"/>
        <rFont val="Aptos"/>
        <family val="2"/>
      </rPr>
      <t>7.</t>
    </r>
    <r>
      <rPr>
        <sz val="12"/>
        <color theme="1"/>
        <rFont val="Aptos"/>
        <family val="2"/>
      </rPr>
      <t xml:space="preserve"> With numerous patents issued and many others in process its technical expertise is well protected.</t>
    </r>
  </si>
  <si>
    <r>
      <rPr>
        <b/>
        <sz val="12"/>
        <color theme="1"/>
        <rFont val="Aptos"/>
        <family val="2"/>
      </rPr>
      <t>8.</t>
    </r>
    <r>
      <rPr>
        <sz val="12"/>
        <color theme="1"/>
        <rFont val="Aptos"/>
        <family val="2"/>
      </rPr>
      <t xml:space="preserve"> Seals and wear surface life documented at over 20,000 hours.</t>
    </r>
  </si>
  <si>
    <t xml:space="preserve">FM has completed a beta production run of its 530cc and 150cc Rotapower® engines and demonstrated their performance in numerous applications including airplanes, jet boats, </t>
  </si>
  <si>
    <r>
      <t xml:space="preserve">all-terrain vehicles, hybrid car, motor scooter, two and four passenger air taxis, gensets and various drones for US Army, Navy, and Airforce. </t>
    </r>
    <r>
      <rPr>
        <sz val="12"/>
        <color theme="1"/>
        <rFont val="Aptos"/>
        <family val="2"/>
      </rPr>
      <t xml:space="preserve">FM has also licensed production of its </t>
    </r>
  </si>
  <si>
    <t xml:space="preserve">The tooling acquired from OMC and GMC is entirely unique and was developed under a $125 million contract between GMC and Gleason Machine Works. Gleason refused to manufacture </t>
  </si>
  <si>
    <r>
      <t xml:space="preserve">similar rotary engine production equipment. </t>
    </r>
    <r>
      <rPr>
        <b/>
        <sz val="12"/>
        <color theme="1"/>
        <rFont val="Aptos"/>
        <family val="2"/>
      </rPr>
      <t>Therefore, FM will manufacture engines for MI.</t>
    </r>
  </si>
  <si>
    <t>Advanced Air Mobility (AAM) or Urban Air Mobility (UAM) Vertical Take Off &amp; Landing (VTOL) Market</t>
  </si>
  <si>
    <t>The total market size is approximately 165 million engines per year (with an average CAGR growth of 5%) and FM targets 1% market capture in 5 years.</t>
  </si>
  <si>
    <t xml:space="preserve">  public capital investment. The rise in CAPEX has increased from nearly $66 billion in 2021-22 to around $90 billion in the 2022-23 budget. It aims to strengthen the country's infrastructure, thus, positively </t>
  </si>
  <si>
    <t xml:space="preserve">•   The Indian government has adopted a strategic policy toward clean energy usage with a vision to create a gas-based economy in the country. The gas pipeline infrastructure in India increased from 7,474 miles in 2012 to </t>
  </si>
  <si>
    <t xml:space="preserve">10,574 miles as of June 2020. It is expected to lead to widespread growth in natural gas production. Furthermore, the country has set a target to raise the share of gas in its primary energy mix to 15% by 2030. Such policy-level </t>
  </si>
  <si>
    <t>The global small engine market was valued at US$ 7.73 billion in 2013 and is anticipated to be valued at US$ 4.13 billion by 2018 end. The small engine market is expected to grow at a substantial CAGR of 4.0% between</t>
  </si>
  <si>
    <t>2018 and 2026 and is estimated to reach a global value of US$ 5.63 billion by 2026 end.</t>
  </si>
  <si>
    <t>5. Power to volume ratio</t>
  </si>
  <si>
    <t xml:space="preserve">Rotapower® engines achieve a power-to-volume ratio that is nine times higher than its nearest competitor. </t>
  </si>
  <si>
    <t>Its power-to-volume ratio is nine times higher.</t>
  </si>
  <si>
    <t>Its power-to-weight ratio is three times higher.</t>
  </si>
  <si>
    <t>5. Emissions</t>
  </si>
  <si>
    <t>6. Vibration free</t>
  </si>
  <si>
    <t>7. Fuel economy</t>
  </si>
  <si>
    <r>
      <rPr>
        <b/>
        <sz val="11"/>
        <color theme="1"/>
        <rFont val="Aptos"/>
        <family val="2"/>
      </rPr>
      <t xml:space="preserve">(1) </t>
    </r>
    <r>
      <rPr>
        <sz val="11"/>
        <color theme="1"/>
        <rFont val="Aptos"/>
        <family val="2"/>
      </rPr>
      <t xml:space="preserve">The HR &amp; Payroll, Financial, and IT related services costs will be incurred </t>
    </r>
    <r>
      <rPr>
        <b/>
        <sz val="11"/>
        <color rgb="FFFF0000"/>
        <rFont val="Aptos"/>
        <family val="2"/>
      </rPr>
      <t>annually</t>
    </r>
    <r>
      <rPr>
        <sz val="11"/>
        <color theme="1"/>
        <rFont val="Aptos"/>
        <family val="2"/>
      </rPr>
      <t xml:space="preserve">. </t>
    </r>
    <r>
      <rPr>
        <b/>
        <sz val="11"/>
        <color theme="1"/>
        <rFont val="Aptos"/>
        <family val="2"/>
      </rPr>
      <t xml:space="preserve">(2) </t>
    </r>
    <r>
      <rPr>
        <sz val="11"/>
        <color theme="1"/>
        <rFont val="Aptos"/>
        <family val="2"/>
      </rPr>
      <t xml:space="preserve">The Patent work costs will begin in </t>
    </r>
    <r>
      <rPr>
        <b/>
        <sz val="11"/>
        <color rgb="FFFF0000"/>
        <rFont val="Aptos"/>
        <family val="2"/>
      </rPr>
      <t>fourth</t>
    </r>
    <r>
      <rPr>
        <sz val="11"/>
        <color theme="1"/>
        <rFont val="Aptos"/>
        <family val="2"/>
      </rPr>
      <t xml:space="preserve"> month (after the staff is on board) and spread out for </t>
    </r>
    <r>
      <rPr>
        <b/>
        <sz val="11"/>
        <color rgb="FFFF0000"/>
        <rFont val="Aptos"/>
        <family val="2"/>
      </rPr>
      <t>twelve</t>
    </r>
    <r>
      <rPr>
        <sz val="11"/>
        <color theme="1"/>
        <rFont val="Aptos"/>
        <family val="2"/>
      </rPr>
      <t xml:space="preserve"> months thereafter. </t>
    </r>
    <r>
      <rPr>
        <b/>
        <sz val="11"/>
        <color theme="1"/>
        <rFont val="Aptos"/>
        <family val="2"/>
      </rPr>
      <t xml:space="preserve">(3) </t>
    </r>
    <r>
      <rPr>
        <sz val="11"/>
        <color theme="1"/>
        <rFont val="Aptos"/>
        <family val="2"/>
      </rPr>
      <t xml:space="preserve">The outside consultants will be hired in the </t>
    </r>
    <r>
      <rPr>
        <b/>
        <sz val="11"/>
        <color rgb="FFFF0000"/>
        <rFont val="Aptos"/>
        <family val="2"/>
      </rPr>
      <t>fourth</t>
    </r>
    <r>
      <rPr>
        <sz val="11"/>
        <color theme="1"/>
        <rFont val="Aptos"/>
        <family val="2"/>
      </rPr>
      <t xml:space="preserve"> month. </t>
    </r>
    <r>
      <rPr>
        <b/>
        <sz val="11"/>
        <color theme="1"/>
        <rFont val="Aptos"/>
        <family val="2"/>
      </rPr>
      <t>(4)</t>
    </r>
    <r>
      <rPr>
        <sz val="11"/>
        <color theme="1"/>
        <rFont val="Aptos"/>
        <family val="2"/>
      </rPr>
      <t xml:space="preserve"> The building lease costs are around $20,000 with other overheads being $5,000 (</t>
    </r>
    <r>
      <rPr>
        <b/>
        <sz val="11"/>
        <color rgb="FFFF0000"/>
        <rFont val="Aptos"/>
        <family val="2"/>
      </rPr>
      <t>monthly</t>
    </r>
    <r>
      <rPr>
        <sz val="11"/>
        <color theme="1"/>
        <rFont val="Aptos"/>
        <family val="2"/>
      </rPr>
      <t>)</t>
    </r>
  </si>
  <si>
    <t>President/CTO</t>
  </si>
  <si>
    <t>General Mechanic (Electrician)</t>
  </si>
  <si>
    <t>General Mechanic (Fabrication)</t>
  </si>
  <si>
    <t>Chief Engineer (CE)</t>
  </si>
  <si>
    <t>IT Analyst/Specialist</t>
  </si>
  <si>
    <t xml:space="preserve">B). Prototype and Beta purposes (Also used in manufacturing) </t>
  </si>
  <si>
    <t>Per Unit</t>
  </si>
  <si>
    <t xml:space="preserve">Total </t>
  </si>
  <si>
    <t>viii). First in-house Dynameter installation</t>
  </si>
  <si>
    <r>
      <t xml:space="preserve">The effort to hire the staff will begin in the startup phase and anticipate them to begin by </t>
    </r>
    <r>
      <rPr>
        <b/>
        <sz val="11"/>
        <color rgb="FFFF0000"/>
        <rFont val="Aptos"/>
        <family val="2"/>
      </rPr>
      <t>sixth</t>
    </r>
    <r>
      <rPr>
        <sz val="11"/>
        <color theme="1"/>
        <rFont val="Aptos"/>
        <family val="2"/>
      </rPr>
      <t xml:space="preserve"> month.</t>
    </r>
  </si>
  <si>
    <r>
      <t>The cost is estimated in the startup phase (</t>
    </r>
    <r>
      <rPr>
        <b/>
        <sz val="11"/>
        <color rgb="FFFF0000"/>
        <rFont val="Aptos"/>
        <family val="2"/>
      </rPr>
      <t>fourth</t>
    </r>
    <r>
      <rPr>
        <sz val="11"/>
        <color theme="1"/>
        <rFont val="Aptos"/>
        <family val="2"/>
      </rPr>
      <t xml:space="preserve"> month) and the effort begins by the </t>
    </r>
    <r>
      <rPr>
        <b/>
        <sz val="11"/>
        <color rgb="FFFF0000"/>
        <rFont val="Aptos"/>
        <family val="2"/>
      </rPr>
      <t>fifth</t>
    </r>
    <r>
      <rPr>
        <sz val="11"/>
        <color theme="1"/>
        <rFont val="Aptos"/>
        <family val="2"/>
      </rPr>
      <t xml:space="preserve"> month in this phase</t>
    </r>
  </si>
  <si>
    <r>
      <t>The software selection shall be made after the staff is on board (</t>
    </r>
    <r>
      <rPr>
        <b/>
        <sz val="11"/>
        <color rgb="FFFF0000"/>
        <rFont val="Aptos"/>
        <family val="2"/>
      </rPr>
      <t>fifth</t>
    </r>
    <r>
      <rPr>
        <sz val="11"/>
        <color theme="1"/>
        <rFont val="Aptos"/>
        <family val="2"/>
      </rPr>
      <t xml:space="preserve"> month). The lower estimate is around $100,000. Procurement should be complete in </t>
    </r>
    <r>
      <rPr>
        <b/>
        <sz val="11"/>
        <color rgb="FFFF0000"/>
        <rFont val="Aptos"/>
        <family val="2"/>
      </rPr>
      <t>seventh</t>
    </r>
    <r>
      <rPr>
        <sz val="11"/>
        <color theme="1"/>
        <rFont val="Aptos"/>
        <family val="2"/>
      </rPr>
      <t xml:space="preserve"> month</t>
    </r>
  </si>
  <si>
    <t>Engine endurance testing</t>
  </si>
  <si>
    <t>Assembly line software selection &amp; implementation</t>
  </si>
  <si>
    <t>Critical hiring (For four assembly lines)</t>
  </si>
  <si>
    <t>Computer Aided Machinist</t>
  </si>
  <si>
    <t>Computer Aided Testing Technician</t>
  </si>
  <si>
    <r>
      <t xml:space="preserve">Staff evaluation of critical equipment done in the </t>
    </r>
    <r>
      <rPr>
        <b/>
        <sz val="11"/>
        <color rgb="FFFF0000"/>
        <rFont val="Aptos"/>
        <family val="2"/>
      </rPr>
      <t>ninth</t>
    </r>
    <r>
      <rPr>
        <sz val="11"/>
        <color theme="1"/>
        <rFont val="Aptos"/>
        <family val="2"/>
      </rPr>
      <t xml:space="preserve"> month and procurement done in </t>
    </r>
    <r>
      <rPr>
        <b/>
        <sz val="11"/>
        <color rgb="FFFF0000"/>
        <rFont val="Aptos"/>
        <family val="2"/>
      </rPr>
      <t>tenth</t>
    </r>
    <r>
      <rPr>
        <sz val="11"/>
        <color theme="1"/>
        <rFont val="Aptos"/>
        <family val="2"/>
      </rPr>
      <t xml:space="preserve"> month.</t>
    </r>
  </si>
  <si>
    <r>
      <t xml:space="preserve">Month </t>
    </r>
    <r>
      <rPr>
        <b/>
        <sz val="11"/>
        <color rgb="FFFF0000"/>
        <rFont val="Aptos"/>
        <family val="2"/>
      </rPr>
      <t>twelve</t>
    </r>
  </si>
  <si>
    <t>Test first beta run with the assembly line software</t>
  </si>
  <si>
    <r>
      <rPr>
        <b/>
        <sz val="11"/>
        <color rgb="FFFF0000"/>
        <rFont val="Aptos"/>
        <family val="2"/>
      </rPr>
      <t>Thirteenth</t>
    </r>
    <r>
      <rPr>
        <sz val="11"/>
        <color theme="1"/>
        <rFont val="Aptos"/>
        <family val="2"/>
      </rPr>
      <t xml:space="preserve"> month</t>
    </r>
  </si>
  <si>
    <t>Materials purchase (For all models)</t>
  </si>
  <si>
    <t>Castings &amp; Machine tooling  Contract (all models)</t>
  </si>
  <si>
    <t>Development of 27cc and 75cc</t>
  </si>
  <si>
    <t>Critical Hiring Evaluation</t>
  </si>
  <si>
    <t>Critical Equipment Purchases Evaluation</t>
  </si>
  <si>
    <t>This process should begin immediately after fund realization. Money set aside and shown as expended in burn rate tab.</t>
  </si>
  <si>
    <t>27cc Produced per day</t>
  </si>
  <si>
    <t>650cc Produced per day</t>
  </si>
  <si>
    <t>27cc Produced per Month</t>
  </si>
  <si>
    <t>650cc Produced per Month</t>
  </si>
  <si>
    <t>`</t>
  </si>
  <si>
    <t>Engine Type</t>
  </si>
  <si>
    <t>Year 0</t>
  </si>
  <si>
    <t>Year 1</t>
  </si>
  <si>
    <t>Year 2</t>
  </si>
  <si>
    <t>Year 3</t>
  </si>
  <si>
    <t>Year 4</t>
  </si>
  <si>
    <t>Year 5</t>
  </si>
  <si>
    <t>Mass production begins</t>
  </si>
  <si>
    <t>Total outsourced CoGS (inhouse, outsourced, and inefficiencies)</t>
  </si>
  <si>
    <t xml:space="preserve">  Monthly Outsourced CoGs Totals</t>
  </si>
  <si>
    <t xml:space="preserve">  Cumulative outsourced CoGs Totals</t>
  </si>
  <si>
    <t>Use of funds snapshot based on details from the manufacturing plan</t>
  </si>
  <si>
    <t>The 1st month is the month when the first lot of investment funds are realized</t>
  </si>
  <si>
    <t>The plan is based on the first year is considered the "production readiness year"</t>
  </si>
  <si>
    <t>The manufacturing plan and its associated burn rate model is prepared based on</t>
  </si>
  <si>
    <t>An online jobs survey was conducted to determine employee salaries</t>
  </si>
  <si>
    <t>1).</t>
  </si>
  <si>
    <t>3).</t>
  </si>
  <si>
    <t>2).</t>
  </si>
  <si>
    <t>4).</t>
  </si>
  <si>
    <t>5).</t>
  </si>
  <si>
    <t>Computers, Workstations, Printers, Furniture &amp; related costs</t>
  </si>
  <si>
    <t>6).</t>
  </si>
  <si>
    <r>
      <rPr>
        <b/>
        <sz val="11"/>
        <color theme="1"/>
        <rFont val="Aptos"/>
        <family val="2"/>
      </rPr>
      <t>a).</t>
    </r>
    <r>
      <rPr>
        <sz val="11"/>
        <color theme="1"/>
        <rFont val="Aptos"/>
        <family val="2"/>
      </rPr>
      <t xml:space="preserve"> The CoGS analysis done by FM and Exemplar Capital. The original project was conducted under a US DoD project</t>
    </r>
  </si>
  <si>
    <r>
      <rPr>
        <b/>
        <sz val="11"/>
        <color theme="1"/>
        <rFont val="Aptos"/>
        <family val="2"/>
      </rPr>
      <t>b).</t>
    </r>
    <r>
      <rPr>
        <sz val="11"/>
        <color theme="1"/>
        <rFont val="Aptos"/>
        <family val="2"/>
      </rPr>
      <t xml:space="preserve"> The sales prices were determined based on piston engines available in the market with comparable displacement</t>
    </r>
  </si>
  <si>
    <r>
      <t>The Rotapower® engine has the following attributes.</t>
    </r>
    <r>
      <rPr>
        <b/>
        <sz val="12"/>
        <color theme="0"/>
        <rFont val="Aptos"/>
        <family val="2"/>
      </rPr>
      <t>________________________________</t>
    </r>
    <r>
      <rPr>
        <sz val="12"/>
        <color theme="0"/>
        <rFont val="Aptos"/>
        <family val="2"/>
      </rPr>
      <t>_</t>
    </r>
  </si>
  <si>
    <r>
      <t>650cc Rotapower® engine for use in mud boats</t>
    </r>
    <r>
      <rPr>
        <b/>
        <sz val="12"/>
        <color theme="0"/>
        <rFont val="Aptos"/>
        <family val="2"/>
      </rPr>
      <t>__________________________</t>
    </r>
    <r>
      <rPr>
        <sz val="12"/>
        <color theme="1"/>
        <rFont val="Aptos"/>
        <family val="2"/>
      </rPr>
      <t>.</t>
    </r>
  </si>
  <si>
    <t>___________________________________________________________</t>
  </si>
  <si>
    <t>_______________________________________________________</t>
  </si>
  <si>
    <t>__________________________________________________________</t>
  </si>
  <si>
    <t>____________________________________________________</t>
  </si>
  <si>
    <t>_______________________________________________</t>
  </si>
  <si>
    <r>
      <t>Small Engines Market</t>
    </r>
    <r>
      <rPr>
        <b/>
        <sz val="14"/>
        <color theme="0"/>
        <rFont val="Aptos"/>
        <family val="2"/>
      </rPr>
      <t>_______________________________________</t>
    </r>
    <r>
      <rPr>
        <b/>
        <sz val="14"/>
        <color rgb="FF000000"/>
        <rFont val="Aptos"/>
        <family val="2"/>
      </rPr>
      <t xml:space="preserve"> </t>
    </r>
  </si>
  <si>
    <r>
      <t>The following are the market drivers contributing to the growth</t>
    </r>
    <r>
      <rPr>
        <sz val="11"/>
        <color rgb="FF000000"/>
        <rFont val="Aptos"/>
        <family val="2"/>
      </rPr>
      <t>.</t>
    </r>
    <r>
      <rPr>
        <sz val="12"/>
        <color theme="0"/>
        <rFont val="Aptos"/>
        <family val="2"/>
      </rPr>
      <t>_______________________________________________</t>
    </r>
  </si>
  <si>
    <r>
      <t>Key Market trends</t>
    </r>
    <r>
      <rPr>
        <b/>
        <sz val="12"/>
        <color theme="0"/>
        <rFont val="Aptos"/>
        <family val="2"/>
      </rPr>
      <t>__________________________________________________</t>
    </r>
  </si>
  <si>
    <r>
      <t>Asia-Pacific to Dominate the Market</t>
    </r>
    <r>
      <rPr>
        <b/>
        <sz val="12"/>
        <color theme="0"/>
        <rFont val="Aptos"/>
        <family val="2"/>
      </rPr>
      <t>______________________________________________</t>
    </r>
  </si>
  <si>
    <r>
      <t>Market Snapshot</t>
    </r>
    <r>
      <rPr>
        <b/>
        <sz val="12"/>
        <color theme="0"/>
        <rFont val="Aptos"/>
        <family val="2"/>
      </rPr>
      <t>_____________________________________________________</t>
    </r>
    <r>
      <rPr>
        <b/>
        <sz val="12"/>
        <color theme="1"/>
        <rFont val="Aptos"/>
        <family val="2"/>
      </rPr>
      <t xml:space="preserve"> </t>
    </r>
  </si>
  <si>
    <r>
      <t>Competitive Landscape</t>
    </r>
    <r>
      <rPr>
        <b/>
        <sz val="12"/>
        <color theme="0"/>
        <rFont val="Aptos"/>
        <family val="2"/>
      </rPr>
      <t>______________________________________________________</t>
    </r>
  </si>
  <si>
    <r>
      <t>Rising Demand for Urban Green Spaces Trending the Small Engine Market</t>
    </r>
    <r>
      <rPr>
        <b/>
        <sz val="12"/>
        <color theme="0"/>
        <rFont val="Aptos"/>
        <family val="2"/>
      </rPr>
      <t>____________________________________________________</t>
    </r>
  </si>
  <si>
    <r>
      <t>Outboard Motor Market</t>
    </r>
    <r>
      <rPr>
        <b/>
        <sz val="14"/>
        <color theme="0"/>
        <rFont val="Aptos"/>
        <family val="2"/>
      </rPr>
      <t>________________________________________________</t>
    </r>
  </si>
  <si>
    <r>
      <t>Recreation Boating is Expected to Drive Growth</t>
    </r>
    <r>
      <rPr>
        <b/>
        <sz val="12"/>
        <color theme="0"/>
        <rFont val="Aptos"/>
        <family val="2"/>
      </rPr>
      <t>_________________________________________________</t>
    </r>
  </si>
  <si>
    <r>
      <t>North America is Expected to be the Market Leader</t>
    </r>
    <r>
      <rPr>
        <b/>
        <sz val="12"/>
        <color theme="0"/>
        <rFont val="Aptos"/>
        <family val="2"/>
      </rPr>
      <t>___________________________________________</t>
    </r>
  </si>
  <si>
    <r>
      <t>Competitive Landscape</t>
    </r>
    <r>
      <rPr>
        <b/>
        <sz val="12"/>
        <color theme="0"/>
        <rFont val="Aptos"/>
        <family val="2"/>
      </rPr>
      <t>______________________________________</t>
    </r>
  </si>
  <si>
    <t>_________________________________________________________</t>
  </si>
  <si>
    <t>______________________________________________________</t>
  </si>
  <si>
    <t>Production Ready Phase</t>
  </si>
  <si>
    <t>Critical Hiring</t>
  </si>
  <si>
    <t>Freedom Motors</t>
  </si>
  <si>
    <t>Critical Tasks</t>
  </si>
  <si>
    <t>►</t>
  </si>
  <si>
    <t>◄ Unhide these columns to extend the timeline</t>
  </si>
  <si>
    <t>Start:</t>
  </si>
  <si>
    <t>Display:</t>
  </si>
  <si>
    <t>Daily</t>
  </si>
  <si>
    <t>Display Plan:</t>
  </si>
  <si>
    <t>No</t>
  </si>
  <si>
    <t>Beginning of the period (do not delete this row):</t>
  </si>
  <si>
    <t>End of the period (do not delete this row):</t>
  </si>
  <si>
    <t>Formulas for identifying holidays in the Daily view (do not delete this row):</t>
  </si>
  <si>
    <t>Formulas for identifying holidays and weekends in the Daily view (do not delete this row):</t>
  </si>
  <si>
    <t>End:</t>
  </si>
  <si>
    <t>Fill Pattern:</t>
  </si>
  <si>
    <t>Today:</t>
  </si>
  <si>
    <t>Task Start</t>
  </si>
  <si>
    <t>Task Duration</t>
  </si>
  <si>
    <t>Show Overdue:</t>
  </si>
  <si>
    <t>WBS
Level</t>
  </si>
  <si>
    <t>WBS</t>
  </si>
  <si>
    <t>Task</t>
  </si>
  <si>
    <t>Assign To</t>
  </si>
  <si>
    <t>Budget</t>
  </si>
  <si>
    <t>Predecessors</t>
  </si>
  <si>
    <t>Lead / Lag</t>
  </si>
  <si>
    <t>Start
Date</t>
  </si>
  <si>
    <t>Work Days</t>
  </si>
  <si>
    <t>Cal. Days</t>
  </si>
  <si>
    <t>End
Date</t>
  </si>
  <si>
    <t>Color</t>
  </si>
  <si>
    <t>%
Done</t>
  </si>
  <si>
    <t>Priority</t>
  </si>
  <si>
    <t>Start</t>
  </si>
  <si>
    <t>End</t>
  </si>
  <si>
    <t>Planned Start</t>
  </si>
  <si>
    <t>Planned End</t>
  </si>
  <si>
    <t>K</t>
  </si>
  <si>
    <t>G</t>
  </si>
  <si>
    <t>B</t>
  </si>
  <si>
    <t>⎯</t>
  </si>
  <si>
    <t>P</t>
  </si>
  <si>
    <t>X</t>
  </si>
  <si>
    <t>R</t>
  </si>
  <si>
    <t>O</t>
  </si>
  <si>
    <t>M</t>
  </si>
  <si>
    <t>Insert new rows above this one.</t>
  </si>
  <si>
    <t>Holidays to Exclude from Work Days</t>
  </si>
  <si>
    <t>Dates in this list are excluded from work days, and are highlighted green in the Daily view of</t>
  </si>
  <si>
    <t>the Gantt chart. If you add more rows to the bottom of the list, you may need to edit the</t>
  </si>
  <si>
    <t>named range "holidays" via Formulas &gt; Named Ranges to include the new rows.</t>
  </si>
  <si>
    <t>The Description and Country columns are just for reference.</t>
  </si>
  <si>
    <t>Date</t>
  </si>
  <si>
    <t>Description</t>
  </si>
  <si>
    <t>Country</t>
  </si>
  <si>
    <t>Do not delete this row</t>
  </si>
  <si>
    <t>Christmas</t>
  </si>
  <si>
    <t>New Year's Day</t>
  </si>
  <si>
    <t>Columbus Day</t>
  </si>
  <si>
    <t>US</t>
  </si>
  <si>
    <t>Independence Day</t>
  </si>
  <si>
    <t>Labor Day</t>
  </si>
  <si>
    <t>M.L.King Jr. Day</t>
  </si>
  <si>
    <t>Memorial Day</t>
  </si>
  <si>
    <t>Presidents Day</t>
  </si>
  <si>
    <t>Thanksgiving</t>
  </si>
  <si>
    <t>Veterans Day</t>
  </si>
  <si>
    <t>Boxing Day</t>
  </si>
  <si>
    <t>UK</t>
  </si>
  <si>
    <t>Good Friday</t>
  </si>
  <si>
    <t>Easter Monday</t>
  </si>
  <si>
    <t>Early May Bank Holiday</t>
  </si>
  <si>
    <t>Spring Bank Holiday</t>
  </si>
  <si>
    <t>Summer Bank Holiday</t>
  </si>
  <si>
    <t>Late Summer Bank Holiday</t>
  </si>
  <si>
    <t>Insert new rows above this one</t>
  </si>
  <si>
    <t>Manufacturing Project</t>
  </si>
  <si>
    <t>Critical Equipment Purchase</t>
  </si>
  <si>
    <t>Critical Parts Procurement</t>
  </si>
  <si>
    <t>Critical Services</t>
  </si>
  <si>
    <t>Yes</t>
  </si>
  <si>
    <t>Services under contract</t>
  </si>
  <si>
    <t>Patent &amp; IP Management</t>
  </si>
  <si>
    <t>Outside consultants</t>
  </si>
  <si>
    <t>g). Second in-house Dynamometer Installation</t>
  </si>
  <si>
    <t>Purchases &amp; Installations</t>
  </si>
  <si>
    <t>Materials purchase</t>
  </si>
  <si>
    <t>Casting &amp; machine tooling contract</t>
  </si>
  <si>
    <t>Accessories qualification &amp; integration</t>
  </si>
  <si>
    <t xml:space="preserve">Calibration of accessories (dyno testing) </t>
  </si>
  <si>
    <t>OEM collaboration</t>
  </si>
  <si>
    <t>Assembly line software selection</t>
  </si>
  <si>
    <t>Consolidate tasks &amp; lessons learned</t>
  </si>
  <si>
    <t>Assembly line software check</t>
  </si>
  <si>
    <t>Develop Q&amp;A and manual for production line</t>
  </si>
  <si>
    <t>Employee training</t>
  </si>
  <si>
    <t>Executive sign off (production)</t>
  </si>
  <si>
    <t>Test beta production run</t>
  </si>
  <si>
    <t>Critical hiring evaluation</t>
  </si>
  <si>
    <t>Critical equipment purchase evaluation</t>
  </si>
  <si>
    <t>Second dynamometer installtion</t>
  </si>
  <si>
    <t>This chart will be refined and changed as we get closer to the fund realization</t>
  </si>
  <si>
    <t>Help &amp; Settings</t>
  </si>
  <si>
    <t>Gantt Chart Template Pro, Version 5.0</t>
  </si>
  <si>
    <t>© 2006-2022 Vertex42 LLC</t>
  </si>
  <si>
    <t>▸Getting Started</t>
  </si>
  <si>
    <t>▸Settings</t>
  </si>
  <si>
    <t>▸How To …</t>
  </si>
  <si>
    <t>▸FAQs</t>
  </si>
  <si>
    <t>If this page does not answer your questions, please visit the following page:</t>
  </si>
  <si>
    <t>Support</t>
  </si>
  <si>
    <t>Getting Started</t>
  </si>
  <si>
    <t>▲ Top</t>
  </si>
  <si>
    <t>Watch the Demo Videos</t>
  </si>
  <si>
    <t>New demo videos will be created for this version of Gantt Chart Pro. For now, it will still help to watch the demo videos currently on the Gantt Chart Pro page, because the information and techniques are still mostly applicable to this version of the spreadsheet.</t>
  </si>
  <si>
    <t>Watch the Demo Videos on Vertex42.com</t>
  </si>
  <si>
    <t>Important</t>
  </si>
  <si>
    <r>
      <t xml:space="preserve">• </t>
    </r>
    <r>
      <rPr>
        <b/>
        <sz val="10"/>
        <rFont val="Arial"/>
        <family val="2"/>
      </rPr>
      <t>Backup</t>
    </r>
    <r>
      <rPr>
        <sz val="10"/>
        <rFont val="Arial"/>
        <family val="2"/>
      </rPr>
      <t xml:space="preserve"> your file regularly to avoid losing data! Excel files get corrupted occasionally.</t>
    </r>
  </si>
  <si>
    <r>
      <t xml:space="preserve">• </t>
    </r>
    <r>
      <rPr>
        <b/>
        <sz val="10"/>
        <rFont val="Arial"/>
        <family val="2"/>
      </rPr>
      <t>Do not delete</t>
    </r>
    <r>
      <rPr>
        <sz val="10"/>
        <rFont val="Arial"/>
        <family val="2"/>
      </rPr>
      <t xml:space="preserve"> the Help &amp; Settings, Holidays, or TermsOfUse worksheets. Hide them if necessary.</t>
    </r>
  </si>
  <si>
    <r>
      <t xml:space="preserve">• </t>
    </r>
    <r>
      <rPr>
        <b/>
        <sz val="10"/>
        <rFont val="Arial"/>
        <family val="2"/>
      </rPr>
      <t>Before sharing the file</t>
    </r>
    <r>
      <rPr>
        <sz val="10"/>
        <rFont val="Arial"/>
        <family val="2"/>
      </rPr>
      <t>, read the license agreement in the TermsOfUse worksheet. Only limited private sharing within your team or organization is permitted.</t>
    </r>
  </si>
  <si>
    <t>What to do first</t>
  </si>
  <si>
    <r>
      <rPr>
        <b/>
        <sz val="10"/>
        <rFont val="Arial"/>
        <family val="2"/>
      </rPr>
      <t xml:space="preserve">• Save a Copy </t>
    </r>
    <r>
      <rPr>
        <sz val="10"/>
        <rFont val="Arial"/>
        <family val="2"/>
      </rPr>
      <t>of the file to use for other projects.</t>
    </r>
  </si>
  <si>
    <r>
      <rPr>
        <b/>
        <sz val="10"/>
        <rFont val="Arial"/>
        <family val="2"/>
      </rPr>
      <t>• Edit the [Project Title]</t>
    </r>
    <r>
      <rPr>
        <sz val="10"/>
        <rFont val="Arial"/>
        <family val="2"/>
      </rPr>
      <t xml:space="preserve"> in the header. Unhide row 2 to include a subtitle.</t>
    </r>
  </si>
  <si>
    <r>
      <rPr>
        <b/>
        <sz val="10"/>
        <rFont val="Arial"/>
        <family val="2"/>
      </rPr>
      <t xml:space="preserve">• Enter a project Start date </t>
    </r>
    <r>
      <rPr>
        <sz val="10"/>
        <rFont val="Arial"/>
        <family val="2"/>
      </rPr>
      <t>in the header. This date determines the first week shown in the Gantt Chart.</t>
    </r>
  </si>
  <si>
    <r>
      <rPr>
        <b/>
        <sz val="10"/>
        <rFont val="Arial"/>
        <family val="2"/>
      </rPr>
      <t>• Edit the input cells with the white background,</t>
    </r>
    <r>
      <rPr>
        <sz val="10"/>
        <rFont val="Arial"/>
        <family val="2"/>
      </rPr>
      <t xml:space="preserve"> except for the cells in the chart area.</t>
    </r>
  </si>
  <si>
    <t>Example input cell</t>
  </si>
  <si>
    <r>
      <rPr>
        <b/>
        <sz val="10"/>
        <rFont val="Arial"/>
        <family val="2"/>
      </rPr>
      <t>• Edit tasks</t>
    </r>
    <r>
      <rPr>
        <sz val="10"/>
        <rFont val="Arial"/>
        <family val="2"/>
      </rPr>
      <t xml:space="preserve"> by choosing a WBS Level then editing the Task description</t>
    </r>
  </si>
  <si>
    <r>
      <rPr>
        <b/>
        <sz val="10"/>
        <rFont val="Arial"/>
        <family val="2"/>
      </rPr>
      <t>• Edit the Holidays</t>
    </r>
    <r>
      <rPr>
        <sz val="10"/>
        <rFont val="Arial"/>
        <family val="2"/>
      </rPr>
      <t xml:space="preserve"> worksheet to define the non-working dates.</t>
    </r>
  </si>
  <si>
    <r>
      <rPr>
        <b/>
        <sz val="10"/>
        <rFont val="Arial"/>
        <family val="2"/>
      </rPr>
      <t>• Skim this Help &amp; Settings worksheet</t>
    </r>
    <r>
      <rPr>
        <sz val="10"/>
        <rFont val="Arial"/>
        <family val="2"/>
      </rPr>
      <t xml:space="preserve"> so that you are aware of what it contains.</t>
    </r>
  </si>
  <si>
    <t>Other things to note or try</t>
  </si>
  <si>
    <r>
      <rPr>
        <b/>
        <sz val="10"/>
        <rFont val="Arial"/>
        <family val="2"/>
      </rPr>
      <t xml:space="preserve">• Click on column labels </t>
    </r>
    <r>
      <rPr>
        <sz val="10"/>
        <rFont val="Arial"/>
        <family val="2"/>
      </rPr>
      <t>to read notes about each column.</t>
    </r>
  </si>
  <si>
    <t>Example: Click Here</t>
  </si>
  <si>
    <r>
      <rPr>
        <b/>
        <sz val="10"/>
        <rFont val="Arial"/>
        <family val="2"/>
      </rPr>
      <t>• If you see "#####" in a cell,</t>
    </r>
    <r>
      <rPr>
        <sz val="10"/>
        <rFont val="Arial"/>
        <family val="2"/>
      </rPr>
      <t xml:space="preserve"> widen the column to display the cell contents.</t>
    </r>
  </si>
  <si>
    <r>
      <rPr>
        <b/>
        <sz val="10"/>
        <rFont val="Arial"/>
        <family val="2"/>
      </rPr>
      <t>• When inserting rows,</t>
    </r>
    <r>
      <rPr>
        <sz val="10"/>
        <rFont val="Arial"/>
        <family val="2"/>
      </rPr>
      <t xml:space="preserve"> many columns contain formulas that must be copied down.</t>
    </r>
  </si>
  <si>
    <r>
      <rPr>
        <b/>
        <sz val="10"/>
        <rFont val="Arial"/>
        <family val="2"/>
      </rPr>
      <t>• To insert a new task</t>
    </r>
    <r>
      <rPr>
        <sz val="10"/>
        <rFont val="Arial"/>
        <family val="2"/>
      </rPr>
      <t>, insert a new row, then with the new row selected, press Ctrl+d to copy</t>
    </r>
  </si>
  <si>
    <t>the formulas and formatting from the row immediately above the one you inserted.</t>
  </si>
  <si>
    <r>
      <rPr>
        <b/>
        <sz val="10"/>
        <rFont val="Arial"/>
        <family val="2"/>
      </rPr>
      <t>• Toggle between the Daily, Weekly, and Monthly view</t>
    </r>
    <r>
      <rPr>
        <sz val="10"/>
        <rFont val="Arial"/>
        <family val="2"/>
      </rPr>
      <t xml:space="preserve"> using the Display drop-down box.</t>
    </r>
  </si>
  <si>
    <r>
      <rPr>
        <b/>
        <sz val="10"/>
        <color rgb="FF000000"/>
        <rFont val="Arial"/>
        <family val="2"/>
      </rPr>
      <t>• Change the Display Week</t>
    </r>
    <r>
      <rPr>
        <sz val="10"/>
        <color rgb="FF000000"/>
        <rFont val="Arial"/>
        <family val="2"/>
      </rPr>
      <t xml:space="preserve"> number to adjust the range of dates shown in the gantt chart.</t>
    </r>
  </si>
  <si>
    <r>
      <rPr>
        <b/>
        <sz val="10"/>
        <rFont val="Arial"/>
        <family val="2"/>
      </rPr>
      <t>• Define the START of a task</t>
    </r>
    <r>
      <rPr>
        <sz val="10"/>
        <rFont val="Arial"/>
        <family val="2"/>
      </rPr>
      <t xml:space="preserve"> by entering a Predecessor or Start Date.</t>
    </r>
  </si>
  <si>
    <r>
      <rPr>
        <b/>
        <sz val="10"/>
        <rFont val="Arial"/>
        <family val="2"/>
      </rPr>
      <t>• Define the END of a task</t>
    </r>
    <r>
      <rPr>
        <sz val="10"/>
        <rFont val="Arial"/>
        <family val="2"/>
      </rPr>
      <t xml:space="preserve"> by entering the Work Days, Calendar Days, or End Date.</t>
    </r>
  </si>
  <si>
    <r>
      <rPr>
        <b/>
        <sz val="10"/>
        <rFont val="Arial"/>
        <family val="2"/>
      </rPr>
      <t xml:space="preserve">• Use View &gt; Freeze Panes  </t>
    </r>
    <r>
      <rPr>
        <sz val="10"/>
        <rFont val="Arial"/>
        <family val="2"/>
      </rPr>
      <t>to lock the top rows or left columns in place as you scroll.</t>
    </r>
  </si>
  <si>
    <r>
      <rPr>
        <b/>
        <sz val="10"/>
        <rFont val="Arial"/>
        <family val="2"/>
      </rPr>
      <t>• Some columns are hidden by default</t>
    </r>
    <r>
      <rPr>
        <sz val="10"/>
        <rFont val="Arial"/>
        <family val="2"/>
      </rPr>
      <t>, such as the Planned Start and Planned End columns. Unhide all columns to use all features.</t>
    </r>
  </si>
  <si>
    <r>
      <rPr>
        <b/>
        <sz val="10"/>
        <rFont val="Arial"/>
        <family val="2"/>
      </rPr>
      <t>• To extend the chart area</t>
    </r>
    <r>
      <rPr>
        <sz val="10"/>
        <rFont val="Arial"/>
        <family val="2"/>
      </rPr>
      <t>, unhide the hidden columns to the right of the Gantt Chart.</t>
    </r>
  </si>
  <si>
    <r>
      <rPr>
        <b/>
        <sz val="10"/>
        <rFont val="Arial"/>
        <family val="2"/>
      </rPr>
      <t>• Hide unneeded columns</t>
    </r>
    <r>
      <rPr>
        <sz val="10"/>
        <rFont val="Arial"/>
        <family val="2"/>
      </rPr>
      <t xml:space="preserve"> when printing or to create a more compact view.</t>
    </r>
  </si>
  <si>
    <t>Compatibility</t>
  </si>
  <si>
    <t>Version 5.0 requires Excel 2010 or Later, Excel Online, or Excel Mobile.</t>
  </si>
  <si>
    <t xml:space="preserve"> • Some loss of detail occurs in the Weekly, Monthly and Quarterly views for short-term projects because of the use of only one column per week/month/quarter in the display.</t>
  </si>
  <si>
    <t xml:space="preserve"> • Form controls like scroll bars are not compatible with Excel Online. Delete the scroll bar for full compatibility with Excel Online.</t>
  </si>
  <si>
    <t xml:space="preserve"> • Excel Online does not permit cross-hatching as fill patterns, so the Planned vs. Actual feature will not work in Excel Online.</t>
  </si>
  <si>
    <t>New in Version 5.0</t>
  </si>
  <si>
    <t xml:space="preserve"> • Show Planned Start and Planned End via cross-hatching (columns are hidden by default).</t>
  </si>
  <si>
    <t xml:space="preserve"> • Milestones can be displayed with "◆" symbols by entering "M" in the color column.</t>
  </si>
  <si>
    <t xml:space="preserve"> • Improved logic for simplifying the definition of the Start and Duration of tasks.</t>
  </si>
  <si>
    <t xml:space="preserve"> • New Priority column with customizable values (see below).</t>
  </si>
  <si>
    <t xml:space="preserve"> • Formatting updated for improved user experience and appearance.</t>
  </si>
  <si>
    <t xml:space="preserve"> • Show (Highlight) Overdue Tasks (see below)</t>
  </si>
  <si>
    <t xml:space="preserve"> • Progress bars in the % Done column, and 100% turns green (via conditional formatting).</t>
  </si>
  <si>
    <t xml:space="preserve"> • Updated the Help and Settings worksheet.</t>
  </si>
  <si>
    <t xml:space="preserve"> • Added more columns (hidden by default) to the Gantt chart area.</t>
  </si>
  <si>
    <t>Gantt Chart Settings</t>
  </si>
  <si>
    <t>Priority Options</t>
  </si>
  <si>
    <t>The Priority column can be hidden if you do not want to use it.</t>
  </si>
  <si>
    <t>Priorities</t>
  </si>
  <si>
    <t>Meaning</t>
  </si>
  <si>
    <t>Edit the first 3 values or symbols in the Priorities list to change what shows up in the</t>
  </si>
  <si>
    <t>▲</t>
  </si>
  <si>
    <t>High Priority</t>
  </si>
  <si>
    <t>drop-down box in the Priority column. You can enter text like "High" "Medium" or "Low"</t>
  </si>
  <si>
    <t>Medium Priority</t>
  </si>
  <si>
    <t>or use special symbols.</t>
  </si>
  <si>
    <t>▼</t>
  </si>
  <si>
    <t>Low Priority</t>
  </si>
  <si>
    <t>Very High</t>
  </si>
  <si>
    <t>In addition to the top 3 symbols, the priority column uses conditional formatting to show</t>
  </si>
  <si>
    <t>High</t>
  </si>
  <si>
    <t>circle icons when you enter a priority of 3, 2, 1, or 0.</t>
  </si>
  <si>
    <t>Medium</t>
  </si>
  <si>
    <t>Low</t>
  </si>
  <si>
    <t>Define the Weekend (Non-Working) Days</t>
  </si>
  <si>
    <t>Weekend</t>
  </si>
  <si>
    <t xml:space="preserve">Choose an option or enter a weekend string →  </t>
  </si>
  <si>
    <t>0000011</t>
  </si>
  <si>
    <t>The WORKDAYS.INTL() and NETWORKDAYS.INTL() functions allow you to specify</t>
  </si>
  <si>
    <t>Options</t>
  </si>
  <si>
    <t>Non-Work Days</t>
  </si>
  <si>
    <t>which day(s) of the week should be used as the weekend or non-working days.</t>
  </si>
  <si>
    <t>Saturday, Sunday</t>
  </si>
  <si>
    <t>Sunday, Monday</t>
  </si>
  <si>
    <t>To use these functions, choose an option from the drop-down box on the right.</t>
  </si>
  <si>
    <t>Monday, Tuesday</t>
  </si>
  <si>
    <t>Tuesday, Wednesday</t>
  </si>
  <si>
    <t>If one of the options to the right does not work for you, you can enter a string of</t>
  </si>
  <si>
    <t>Wednesday, Thursday</t>
  </si>
  <si>
    <t>7 characters, using a "1" to represent a non-workday and a "0" to represent</t>
  </si>
  <si>
    <t>Thursday, Friday</t>
  </si>
  <si>
    <t>a work day, beginning with Monday.</t>
  </si>
  <si>
    <t>Friday, Saturday</t>
  </si>
  <si>
    <t>Sunday Only</t>
  </si>
  <si>
    <r>
      <t xml:space="preserve">For example, the string </t>
    </r>
    <r>
      <rPr>
        <b/>
        <sz val="10"/>
        <rFont val="Arial"/>
        <family val="2"/>
      </rPr>
      <t>0000011</t>
    </r>
    <r>
      <rPr>
        <sz val="10"/>
        <rFont val="Arial"/>
        <family val="2"/>
      </rPr>
      <t xml:space="preserve"> would result in a Saturday-Sunday weekend.</t>
    </r>
  </si>
  <si>
    <t>Monday Only</t>
  </si>
  <si>
    <t>Tuesday Only</t>
  </si>
  <si>
    <t>Wednesday Only</t>
  </si>
  <si>
    <t>Thursday Only</t>
  </si>
  <si>
    <t>Friday Only</t>
  </si>
  <si>
    <t>Saturday Only</t>
  </si>
  <si>
    <t>Set the Date Format to d/m/yy</t>
  </si>
  <si>
    <t>Date Format</t>
  </si>
  <si>
    <r>
      <t xml:space="preserve">If you want to display dates in the UK format (d/m/yy) choose the </t>
    </r>
    <r>
      <rPr>
        <b/>
        <sz val="10"/>
        <rFont val="Arial"/>
        <family val="2"/>
      </rPr>
      <t>dmy</t>
    </r>
    <r>
      <rPr>
        <sz val="10"/>
        <rFont val="Arial"/>
        <family val="2"/>
      </rPr>
      <t xml:space="preserve"> option:</t>
    </r>
  </si>
  <si>
    <t>mdy</t>
  </si>
  <si>
    <t>◂Choose an option</t>
  </si>
  <si>
    <t>Note: This option uses conditional formatting and affects only some columns and dates.</t>
  </si>
  <si>
    <t>Show ISO or Sequential Week Numbers</t>
  </si>
  <si>
    <t>Week Numbering</t>
  </si>
  <si>
    <t>In the "Daily" and "Weekly" displays, you can show ISO or Sequential week numbering:</t>
  </si>
  <si>
    <t>Sequential</t>
  </si>
  <si>
    <t>Set the Timeline Start Day</t>
  </si>
  <si>
    <t>Start Day</t>
  </si>
  <si>
    <t>Choose to display the work week starting with Sunday or Monday:</t>
  </si>
  <si>
    <t>Monday</t>
  </si>
  <si>
    <t>This affects the chart/timeline display only, not any other work day formulas.</t>
  </si>
  <si>
    <t>◂Don't Delete</t>
  </si>
  <si>
    <t>Show % Complete in the Daily View</t>
  </si>
  <si>
    <t>Show % Complete</t>
  </si>
  <si>
    <t>In the Daily view the % Complete will be shown as a gray portion of a bar:</t>
  </si>
  <si>
    <t>Note: Showing the % Complete in Weekly, Monthly, or Quarterly views is inaccurate,</t>
  </si>
  <si>
    <t>so this option is not available in those views.</t>
  </si>
  <si>
    <t>Show (Highlight) Overdue Tasks</t>
  </si>
  <si>
    <r>
      <t xml:space="preserve">The "Show Overdue" option uses conditional formatting to highlight the End date </t>
    </r>
    <r>
      <rPr>
        <b/>
        <sz val="10"/>
        <color rgb="FFC00000"/>
        <rFont val="Arial"/>
        <family val="2"/>
      </rPr>
      <t>red</t>
    </r>
  </si>
  <si>
    <t>◂Overdue</t>
  </si>
  <si>
    <r>
      <t xml:space="preserve">when a task is overdue and </t>
    </r>
    <r>
      <rPr>
        <b/>
        <sz val="10"/>
        <color rgb="FFCC3300"/>
        <rFont val="Arial"/>
        <family val="2"/>
      </rPr>
      <t>orange</t>
    </r>
    <r>
      <rPr>
        <sz val="10"/>
        <rFont val="Arial"/>
        <family val="2"/>
      </rPr>
      <t xml:space="preserve"> when a task is approaching the due date.</t>
    </r>
  </si>
  <si>
    <t>◂Approaching Due</t>
  </si>
  <si>
    <t>The Urgency Days option to the right affects the dates Approaching Due.</t>
  </si>
  <si>
    <t>Urgency Days</t>
  </si>
  <si>
    <t>Set Urgency Days to 0 to highlight when End Date = Today, 1 for End Date &lt;= Tomorrow, etc.</t>
  </si>
  <si>
    <t>◂Enter a number</t>
  </si>
  <si>
    <t>Show Overdue in Chart</t>
  </si>
  <si>
    <t>Set the following option to "Yes" to add light red bars in the chart up to the current date:</t>
  </si>
  <si>
    <t>Date Format Code for Weekly/Monthly Views</t>
  </si>
  <si>
    <t>Format Code</t>
  </si>
  <si>
    <t>If you are using non-English language settings, enter the appropriate format code</t>
  </si>
  <si>
    <t>[$-409]mmm YYYY</t>
  </si>
  <si>
    <t>(month and year)</t>
  </si>
  <si>
    <t>for the TEXT function. (English: mmm YYYY, Spanish: mmm aaaa)</t>
  </si>
  <si>
    <t>YY</t>
  </si>
  <si>
    <t>(year only)</t>
  </si>
  <si>
    <t>How To…</t>
  </si>
  <si>
    <t>Click a topic below to go to that section</t>
  </si>
  <si>
    <t>▸Add Rows (Insert New Tasks)</t>
  </si>
  <si>
    <t>▸Delete Rows (Remove Tasks)</t>
  </si>
  <si>
    <t>▸Move a Row</t>
  </si>
  <si>
    <t>▸Edit the WBS Numbering</t>
  </si>
  <si>
    <t>▸Create Task Dependencies</t>
  </si>
  <si>
    <t>▸Change the Gantt Chart Bar Colors</t>
  </si>
  <si>
    <t>▸Use Advanced Formulas in the Color Column</t>
  </si>
  <si>
    <t>▸Calculate the Start and End dates for a Summary Task</t>
  </si>
  <si>
    <t>▸Calculate the %Done for a Summary Task</t>
  </si>
  <si>
    <t>▸Create Budget Subtotals for Summary Tasks</t>
  </si>
  <si>
    <t>▸Show Planned vs. Actual in the Gantt Chart</t>
  </si>
  <si>
    <t>Add Rows (Insert New Tasks)</t>
  </si>
  <si>
    <t>▲ How To...</t>
  </si>
  <si>
    <t>There are many ways to add more tasks. Most importantly, you need to remember to copy formulas and formatting for the entire row when adding new rows. If you insert a row between two tasks, the formatting is automatically copied, but you need to copy formulas. Below are the recommended ways to add new rows.</t>
  </si>
  <si>
    <t>Note: Use row operations by right-clicking on the Row #</t>
  </si>
  <si>
    <t>Method 1: Insert a Row then Copy Formulas Down</t>
  </si>
  <si>
    <t>1. Right-click on a row and select "Insert"  (This inserts a row ABOVE the selected row)</t>
  </si>
  <si>
    <t>2. Press Ctrl+d to copy formulas and formatting from the row above the new one.</t>
  </si>
  <si>
    <t>3. Edit the green cells in your newly inserted row.</t>
  </si>
  <si>
    <t>Method 2: Copy a Row down using the selection drag handle</t>
  </si>
  <si>
    <t>Note: After inserting a row, you can select the row above it and use the selection drag</t>
  </si>
  <si>
    <t>handle to copy the row down. This is also how you can easily add rows at the bottom.</t>
  </si>
  <si>
    <t>The screenshot on the right shows the</t>
  </si>
  <si>
    <t>selection drag handle for a selected row.</t>
  </si>
  <si>
    <t>Delete a Row (Remove a Task)</t>
  </si>
  <si>
    <t>Right-click on the row number of the row you want to delete and select Delete. If this results in errors, then you probably had formulas that referenced cells in the deleted row. Press CTRL+z to Undo, or search for #REF! errors and fix them.</t>
  </si>
  <si>
    <t>Move a Row</t>
  </si>
  <si>
    <t>After selecting a row, you can hold the SHIFT key down as you click and drag on the edge of the row selection box. Note that the WBS numbering formula is based on the task's relative position, so the WBS numbering will update based on where you move the row. The other method for moving a row is to cut a row (right-click on a row and select "Cut"), then right-click on the location where you want to move it and select "Insert Cut Cells."</t>
  </si>
  <si>
    <t>Edit the WBS Numbering</t>
  </si>
  <si>
    <t>Use the WBS Level column to choose the outline level for the WBS numbering.</t>
  </si>
  <si>
    <t>A formula in the WBS column will automatically update the WBS number. The Task Description is also indented using conditional formatting based on the WBS Level.</t>
  </si>
  <si>
    <r>
      <t xml:space="preserve">If you leave a blank cell above a WBS number, the numbering will reset to 1. The formulas are meant for convenience, but you can manually enter them if you must. If you manually enter WBS numbers, then you may need to enter them as text by preceding the number with an apostrophe, such as </t>
    </r>
    <r>
      <rPr>
        <b/>
        <sz val="10"/>
        <color rgb="FF000000"/>
        <rFont val="Arial"/>
        <family val="2"/>
      </rPr>
      <t>'2</t>
    </r>
    <r>
      <rPr>
        <sz val="10"/>
        <color rgb="FF000000"/>
        <rFont val="Arial"/>
        <family val="2"/>
      </rPr>
      <t>. Just remember that if you enter them manually, the WBS Level column cannot be used to change them.</t>
    </r>
  </si>
  <si>
    <t>Create Task Dependencies</t>
  </si>
  <si>
    <t>You can use Excel formulas to make tasks adjust based on the start or end of another task. Normally, a task dependency is used to define the start date to be the day after the end date of a prior task. The prior task is called the "predecessor." Below are a few different ways that you can create task dependencies using Excel formulas.</t>
  </si>
  <si>
    <t>Note: Using formulas to reference other cells may result in Excel adding a green triangle to the corner of the cell. See the note in the FAQ about how to turn them off.</t>
  </si>
  <si>
    <t>Method 1: Use the Predecessor Columns</t>
  </si>
  <si>
    <t>The Predecessor columns make it easy to create a task dependency where the Start date is the next Work Day after a predecessor's end date. To use the Predecessor columns, you must enter the WBS for the predecessor task using a formula or as text.</t>
  </si>
  <si>
    <t>A. Reference a Predecessor using a formula.</t>
  </si>
  <si>
    <t>In the predecessor column, press "=" and then click on the cell containing the WBS that you want to reference. Then press Enter. This is the preferred method.</t>
  </si>
  <si>
    <t>B. Enter the Predecessor manually as text.</t>
  </si>
  <si>
    <r>
      <t xml:space="preserve">You can enter the Predecessor manually, but you must make sure that you enter it as text, or you will end up with #NA errors. To enter 1.3 as text, just add an apostrophe at the beginning like this: </t>
    </r>
    <r>
      <rPr>
        <b/>
        <sz val="10"/>
        <rFont val="Arial"/>
        <family val="2"/>
      </rPr>
      <t>'1.3</t>
    </r>
    <r>
      <rPr>
        <sz val="10"/>
        <rFont val="Arial"/>
        <family val="2"/>
      </rPr>
      <t>. Entering the WBS manually is not the best method, because if you insert or move tasks you'll have to update all of the Predecessors again, or at least verify that they are still correct.</t>
    </r>
  </si>
  <si>
    <t>Multiple Predecessors</t>
  </si>
  <si>
    <t>The worksheet contains 3 Predecessor columns, but two are hidden by default. If you want to use more than 1 predecessor, unhide the hidden columns.</t>
  </si>
  <si>
    <t>Method 2: Create Your Own Formulas</t>
  </si>
  <si>
    <t>Entering your own formulas allows you to do whatever you want, but may be more difficult. Also, it may not be easy for somebody else to identify your task dependencies.</t>
  </si>
  <si>
    <r>
      <t>A. Reference the project Start date</t>
    </r>
    <r>
      <rPr>
        <sz val="10"/>
        <rFont val="Arial"/>
        <family val="2"/>
      </rPr>
      <t xml:space="preserve"> (e.g. =$C$4 )</t>
    </r>
  </si>
  <si>
    <t>B. Set the Start date to the next Work Day after another task's End date.</t>
  </si>
  <si>
    <r>
      <t xml:space="preserve"> - Use the formula =WORKDAY.INTL(</t>
    </r>
    <r>
      <rPr>
        <i/>
        <sz val="10"/>
        <color rgb="FF000000"/>
        <rFont val="Arial"/>
        <family val="2"/>
      </rPr>
      <t>enddate</t>
    </r>
    <r>
      <rPr>
        <sz val="10"/>
        <color rgb="FF000000"/>
        <rFont val="Arial"/>
        <family val="2"/>
      </rPr>
      <t xml:space="preserve">,1,weekend,holidays) where </t>
    </r>
    <r>
      <rPr>
        <i/>
        <sz val="10"/>
        <color rgb="FF000000"/>
        <rFont val="Arial"/>
        <family val="2"/>
      </rPr>
      <t>enddate</t>
    </r>
    <r>
      <rPr>
        <sz val="10"/>
        <color rgb="FF000000"/>
        <rFont val="Arial"/>
        <family val="2"/>
      </rPr>
      <t xml:space="preserve"> is the reference to the End date of a predecessor task.</t>
    </r>
  </si>
  <si>
    <t xml:space="preserve"> - For multiple predecessors, the formula would be</t>
  </si>
  <si>
    <r>
      <t>=WORKDAY.INTL(MAX(</t>
    </r>
    <r>
      <rPr>
        <i/>
        <sz val="10"/>
        <color rgb="FF000000"/>
        <rFont val="Arial"/>
        <family val="2"/>
      </rPr>
      <t>enddate1,enddate2,enddate3</t>
    </r>
    <r>
      <rPr>
        <sz val="10"/>
        <color rgb="FF000000"/>
        <rFont val="Arial"/>
        <family val="2"/>
      </rPr>
      <t>),1,weekend,holidays)</t>
    </r>
  </si>
  <si>
    <t>C. Set the Start date to the next Calendar Day after another task's End date.</t>
  </si>
  <si>
    <r>
      <t xml:space="preserve"> - This formula is very simple: =</t>
    </r>
    <r>
      <rPr>
        <i/>
        <sz val="10"/>
        <color rgb="FF000000"/>
        <rFont val="Arial"/>
        <family val="2"/>
      </rPr>
      <t>enddate</t>
    </r>
    <r>
      <rPr>
        <sz val="10"/>
        <color rgb="FF000000"/>
        <rFont val="Arial"/>
        <family val="2"/>
      </rPr>
      <t>+1</t>
    </r>
  </si>
  <si>
    <r>
      <t xml:space="preserve"> - For multiple predecessors, the formula would be =MAX(</t>
    </r>
    <r>
      <rPr>
        <i/>
        <sz val="10"/>
        <color rgb="FF000000"/>
        <rFont val="Arial"/>
        <family val="2"/>
      </rPr>
      <t>enddate1,enddate2,enddate3</t>
    </r>
    <r>
      <rPr>
        <sz val="10"/>
        <color rgb="FF000000"/>
        <rFont val="Arial"/>
        <family val="2"/>
      </rPr>
      <t>)+1</t>
    </r>
  </si>
  <si>
    <t>D. Set the Start date to a number of Work days before or after another date.</t>
  </si>
  <si>
    <r>
      <t xml:space="preserve"> - This formula is just like the one in C or D, except that in place of the "1" you enter the number of days, such as =WORKDAY.INTL(</t>
    </r>
    <r>
      <rPr>
        <i/>
        <sz val="10"/>
        <color rgb="FF000000"/>
        <rFont val="Arial"/>
        <family val="2"/>
      </rPr>
      <t>startdate</t>
    </r>
    <r>
      <rPr>
        <sz val="10"/>
        <color rgb="FF000000"/>
        <rFont val="Arial"/>
        <family val="2"/>
      </rPr>
      <t>,-5,weekend,holidays)</t>
    </r>
  </si>
  <si>
    <r>
      <rPr>
        <b/>
        <sz val="10"/>
        <color rgb="FF000000"/>
        <rFont val="Arial"/>
        <family val="2"/>
      </rPr>
      <t>Note:</t>
    </r>
    <r>
      <rPr>
        <sz val="10"/>
        <color rgb="FF000000"/>
        <rFont val="Arial"/>
        <family val="2"/>
      </rPr>
      <t xml:space="preserve"> Refer to Excel help (F1) to learn more about the WORKDAY.INTL function.</t>
    </r>
  </si>
  <si>
    <t>Change the Color of the Bars in the Gantt Chart</t>
  </si>
  <si>
    <t>Use the Color Column:</t>
  </si>
  <si>
    <t>The cells that make up the chart area use conditional formatting to control the color of the bars. The default color is blue. You can make the bars different colors by entering one of the following letters in the color column:</t>
  </si>
  <si>
    <r>
      <rPr>
        <b/>
        <sz val="10"/>
        <rFont val="Arial"/>
        <family val="2"/>
      </rPr>
      <t>Colors:</t>
    </r>
    <r>
      <rPr>
        <sz val="10"/>
        <rFont val="Arial"/>
        <family val="2"/>
      </rPr>
      <t xml:space="preserve"> B=blue, K=black, G=green, P=purple, O=orange, R=red, X=gray, Y=yellow</t>
    </r>
  </si>
  <si>
    <t>You can also enter a number 1-6 to use an accent color from the theme palette.</t>
  </si>
  <si>
    <t>Use Advanced Formulas in the Color Column</t>
  </si>
  <si>
    <t>Use a Formula to Change the Color for Completed Tasks</t>
  </si>
  <si>
    <t>You can enter a formula in the Color column to change the color code based on the value in the %Done column. For example, if M13 is a reference to the value in the %Done column on the same row, the following formula will change the completed task to green (color code "G") or use blue "B" if not completed.</t>
  </si>
  <si>
    <r>
      <t xml:space="preserve">  =IF(</t>
    </r>
    <r>
      <rPr>
        <b/>
        <i/>
        <sz val="10"/>
        <color theme="3"/>
        <rFont val="Arial"/>
        <family val="2"/>
      </rPr>
      <t>M13</t>
    </r>
    <r>
      <rPr>
        <sz val="10"/>
        <rFont val="Arial"/>
        <family val="2"/>
      </rPr>
      <t>&gt;=100%,"G","B")</t>
    </r>
  </si>
  <si>
    <t>Use a Formula to Show Urgency</t>
  </si>
  <si>
    <t>You can enter a formula in the Color column to change the color to orange based on a</t>
  </si>
  <si>
    <t>comparison of the End date and Today's date. For example, the following formula would give</t>
  </si>
  <si>
    <r>
      <t xml:space="preserve">you a 10-day warning, where </t>
    </r>
    <r>
      <rPr>
        <i/>
        <sz val="10"/>
        <rFont val="Arial"/>
        <family val="2"/>
      </rPr>
      <t>P13</t>
    </r>
    <r>
      <rPr>
        <sz val="10"/>
        <rFont val="Arial"/>
        <family val="2"/>
      </rPr>
      <t xml:space="preserve"> is a reference to the End date cell on the same row.</t>
    </r>
  </si>
  <si>
    <r>
      <t xml:space="preserve">  =IF(</t>
    </r>
    <r>
      <rPr>
        <b/>
        <i/>
        <sz val="10"/>
        <color theme="3"/>
        <rFont val="Arial"/>
        <family val="2"/>
      </rPr>
      <t>P13</t>
    </r>
    <r>
      <rPr>
        <sz val="10"/>
        <rFont val="Arial"/>
        <family val="2"/>
      </rPr>
      <t>&lt;TODAY()+10,"o","")</t>
    </r>
  </si>
  <si>
    <t>The example below makes the 10-day warning orange and a 2-day warning red.</t>
  </si>
  <si>
    <r>
      <t xml:space="preserve">  =IF(</t>
    </r>
    <r>
      <rPr>
        <b/>
        <i/>
        <sz val="10"/>
        <color theme="3"/>
        <rFont val="Arial"/>
        <family val="2"/>
      </rPr>
      <t>P13</t>
    </r>
    <r>
      <rPr>
        <sz val="10"/>
        <rFont val="Arial"/>
        <family val="2"/>
      </rPr>
      <t>&lt;TODAY()+2,"r",IF(</t>
    </r>
    <r>
      <rPr>
        <b/>
        <i/>
        <sz val="10"/>
        <color theme="3"/>
        <rFont val="Arial"/>
        <family val="2"/>
      </rPr>
      <t>P13</t>
    </r>
    <r>
      <rPr>
        <sz val="10"/>
        <rFont val="Arial"/>
        <family val="2"/>
      </rPr>
      <t>&lt;TODAY()+10,"o",""))</t>
    </r>
  </si>
  <si>
    <t>Urgency (Days)</t>
  </si>
  <si>
    <t>red</t>
  </si>
  <si>
    <t>The complex formula below makes use of the table of urgency values to the right.</t>
  </si>
  <si>
    <t>orange</t>
  </si>
  <si>
    <t>Note that "urgency_days" is a named range referring to the table on the right.</t>
  </si>
  <si>
    <t>yellow</t>
  </si>
  <si>
    <r>
      <t xml:space="preserve">  =IF(</t>
    </r>
    <r>
      <rPr>
        <b/>
        <i/>
        <sz val="10"/>
        <color theme="3"/>
        <rFont val="Arial"/>
        <family val="2"/>
      </rPr>
      <t>P13</t>
    </r>
    <r>
      <rPr>
        <sz val="10"/>
        <rFont val="Arial"/>
        <family val="2"/>
      </rPr>
      <t>&lt;TODAY()+INDEX(urgency_days,1),"r", IF(</t>
    </r>
    <r>
      <rPr>
        <b/>
        <i/>
        <sz val="10"/>
        <color theme="3"/>
        <rFont val="Arial"/>
        <family val="2"/>
      </rPr>
      <t>P13</t>
    </r>
    <r>
      <rPr>
        <sz val="10"/>
        <rFont val="Arial"/>
        <family val="2"/>
      </rPr>
      <t>&lt;TODAY()+  INDEX(urgency_days,2),"o",IF(</t>
    </r>
    <r>
      <rPr>
        <b/>
        <i/>
        <sz val="10"/>
        <color theme="3"/>
        <rFont val="Arial"/>
        <family val="2"/>
      </rPr>
      <t>P13</t>
    </r>
    <r>
      <rPr>
        <sz val="10"/>
        <rFont val="Arial"/>
        <family val="2"/>
      </rPr>
      <t>&lt;TODAY()+ INDEX(urgency_days,3),"y","")))</t>
    </r>
  </si>
  <si>
    <t>Color-Code Based on Assign To Name</t>
  </si>
  <si>
    <t>Names</t>
  </si>
  <si>
    <t xml:space="preserve">One popular reason for color-coding is to help identify ownership of a task. To do this, </t>
  </si>
  <si>
    <t>Bob</t>
  </si>
  <si>
    <t>k</t>
  </si>
  <si>
    <r>
      <t>you could create your own nested IF formula: =IF(</t>
    </r>
    <r>
      <rPr>
        <i/>
        <sz val="10"/>
        <rFont val="Arial"/>
        <family val="2"/>
      </rPr>
      <t>ref</t>
    </r>
    <r>
      <rPr>
        <sz val="10"/>
        <rFont val="Arial"/>
        <family val="2"/>
      </rPr>
      <t>="Bob","o",If(</t>
    </r>
    <r>
      <rPr>
        <i/>
        <sz val="10"/>
        <rFont val="Arial"/>
        <family val="2"/>
      </rPr>
      <t>ref</t>
    </r>
    <r>
      <rPr>
        <sz val="10"/>
        <rFont val="Arial"/>
        <family val="2"/>
      </rPr>
      <t>="Sally","p",""))</t>
    </r>
  </si>
  <si>
    <t>Sarah</t>
  </si>
  <si>
    <t>x</t>
  </si>
  <si>
    <t>where "ref" is the reference to the cell in the Assign To column.</t>
  </si>
  <si>
    <t>Bill</t>
  </si>
  <si>
    <t>b</t>
  </si>
  <si>
    <t>Jim</t>
  </si>
  <si>
    <t>g</t>
  </si>
  <si>
    <t>If you want to use the table listed to the right, you can use the following formula in the</t>
  </si>
  <si>
    <t>p</t>
  </si>
  <si>
    <r>
      <t xml:space="preserve">Color column. Note that the names must match exactly. Change </t>
    </r>
    <r>
      <rPr>
        <i/>
        <sz val="10"/>
        <rFont val="Arial"/>
        <family val="2"/>
      </rPr>
      <t>ref</t>
    </r>
    <r>
      <rPr>
        <sz val="10"/>
        <rFont val="Arial"/>
        <family val="2"/>
      </rPr>
      <t xml:space="preserve"> to be a reference</t>
    </r>
  </si>
  <si>
    <t>y</t>
  </si>
  <si>
    <t>to the cell in the Assign To column.</t>
  </si>
  <si>
    <t>o</t>
  </si>
  <si>
    <r>
      <t xml:space="preserve"> =IFERROR( INDEX( assign_to_color, MATCH( </t>
    </r>
    <r>
      <rPr>
        <i/>
        <sz val="10"/>
        <rFont val="Arial"/>
        <family val="2"/>
      </rPr>
      <t>ref</t>
    </r>
    <r>
      <rPr>
        <sz val="10"/>
        <rFont val="Arial"/>
        <family val="2"/>
      </rPr>
      <t>, assign_to_names, 0) ), "")</t>
    </r>
  </si>
  <si>
    <t>r</t>
  </si>
  <si>
    <t>Calculate the Start and End dates for a Summary Task</t>
  </si>
  <si>
    <r>
      <t xml:space="preserve">In the Start Date input column for a summary task, enter the formula </t>
    </r>
    <r>
      <rPr>
        <b/>
        <sz val="10"/>
        <rFont val="Arial"/>
        <family val="2"/>
      </rPr>
      <t>=MIN(</t>
    </r>
    <r>
      <rPr>
        <i/>
        <sz val="10"/>
        <rFont val="Arial"/>
        <family val="2"/>
      </rPr>
      <t>startdates</t>
    </r>
    <r>
      <rPr>
        <b/>
        <sz val="10"/>
        <rFont val="Arial"/>
        <family val="2"/>
      </rPr>
      <t>)</t>
    </r>
    <r>
      <rPr>
        <sz val="10"/>
        <rFont val="Arial"/>
        <family val="2"/>
      </rPr>
      <t xml:space="preserve"> where </t>
    </r>
    <r>
      <rPr>
        <i/>
        <sz val="10"/>
        <rFont val="Arial"/>
        <family val="2"/>
      </rPr>
      <t>startdates</t>
    </r>
    <r>
      <rPr>
        <sz val="10"/>
        <rFont val="Arial"/>
        <family val="2"/>
      </rPr>
      <t xml:space="preserve"> is a reference to the range of start dates for sub tasks. Example: =MIN(O15:O25)</t>
    </r>
  </si>
  <si>
    <r>
      <t xml:space="preserve">In the End Date input column for a summary task, enter the formula </t>
    </r>
    <r>
      <rPr>
        <b/>
        <sz val="10"/>
        <rFont val="Arial"/>
        <family val="2"/>
      </rPr>
      <t>=MAX(</t>
    </r>
    <r>
      <rPr>
        <i/>
        <sz val="10"/>
        <rFont val="Arial"/>
        <family val="2"/>
      </rPr>
      <t>enddates</t>
    </r>
    <r>
      <rPr>
        <b/>
        <sz val="10"/>
        <rFont val="Arial"/>
        <family val="2"/>
      </rPr>
      <t>)</t>
    </r>
    <r>
      <rPr>
        <sz val="10"/>
        <rFont val="Arial"/>
        <family val="2"/>
      </rPr>
      <t xml:space="preserve"> where </t>
    </r>
    <r>
      <rPr>
        <i/>
        <sz val="10"/>
        <rFont val="Arial"/>
        <family val="2"/>
      </rPr>
      <t>enddates</t>
    </r>
    <r>
      <rPr>
        <sz val="10"/>
        <rFont val="Arial"/>
        <family val="2"/>
      </rPr>
      <t xml:space="preserve"> is a reference to the range of end dates for sub tasks. Example: =MAX(P15:P25)</t>
    </r>
  </si>
  <si>
    <r>
      <rPr>
        <b/>
        <sz val="10"/>
        <rFont val="Arial"/>
        <family val="2"/>
      </rPr>
      <t>Important:</t>
    </r>
    <r>
      <rPr>
        <sz val="10"/>
        <rFont val="Arial"/>
        <family val="2"/>
      </rPr>
      <t xml:space="preserve"> When using MIN() and MAX(), if you insert rows, you should check and update the formulas to make sure they are still referencing the correct range of dates.</t>
    </r>
  </si>
  <si>
    <r>
      <rPr>
        <b/>
        <sz val="10"/>
        <rFont val="Arial"/>
        <family val="2"/>
      </rPr>
      <t>Advanced Formulas for Excel 2019+</t>
    </r>
    <r>
      <rPr>
        <sz val="10"/>
        <rFont val="Arial"/>
        <family val="2"/>
      </rPr>
      <t>: The MINIFS and MAXIFS functions available in the most recent versions of Excel permit a useful method for calculating the Start and End dates that makes it unnecessary to select specific ranges. You can also copy and paste the cells to use them for other summary tasks. Use Paste Special &gt; Formula to avoid pasting formatting.</t>
    </r>
  </si>
  <si>
    <t>Calculate the Start date and End date based on all sub tasks:</t>
  </si>
  <si>
    <r>
      <t>=</t>
    </r>
    <r>
      <rPr>
        <b/>
        <sz val="10"/>
        <rFont val="Arial"/>
        <family val="2"/>
      </rPr>
      <t>MINIFS</t>
    </r>
    <r>
      <rPr>
        <sz val="10"/>
        <rFont val="Arial"/>
        <family val="2"/>
      </rPr>
      <t>(</t>
    </r>
    <r>
      <rPr>
        <b/>
        <sz val="10"/>
        <color rgb="FF006600"/>
        <rFont val="Arial"/>
        <family val="2"/>
      </rPr>
      <t>start_range</t>
    </r>
    <r>
      <rPr>
        <sz val="10"/>
        <rFont val="Arial"/>
        <family val="2"/>
      </rPr>
      <t>,</t>
    </r>
    <r>
      <rPr>
        <b/>
        <sz val="10"/>
        <color rgb="FF0070C0"/>
        <rFont val="Arial"/>
        <family val="2"/>
      </rPr>
      <t>wbs_range</t>
    </r>
    <r>
      <rPr>
        <sz val="10"/>
        <rFont val="Arial"/>
        <family val="2"/>
      </rPr>
      <t>,</t>
    </r>
    <r>
      <rPr>
        <b/>
        <sz val="10"/>
        <color rgb="FF7030A0"/>
        <rFont val="Arial"/>
        <family val="2"/>
      </rPr>
      <t>B13</t>
    </r>
    <r>
      <rPr>
        <sz val="10"/>
        <rFont val="Arial"/>
        <family val="2"/>
      </rPr>
      <t>&amp;".*")</t>
    </r>
  </si>
  <si>
    <r>
      <t>=</t>
    </r>
    <r>
      <rPr>
        <b/>
        <sz val="10"/>
        <rFont val="Arial"/>
        <family val="2"/>
      </rPr>
      <t>MAXIFS</t>
    </r>
    <r>
      <rPr>
        <sz val="10"/>
        <rFont val="Arial"/>
        <family val="2"/>
      </rPr>
      <t>(</t>
    </r>
    <r>
      <rPr>
        <b/>
        <sz val="10"/>
        <color rgb="FF006600"/>
        <rFont val="Arial"/>
        <family val="2"/>
      </rPr>
      <t>end_range</t>
    </r>
    <r>
      <rPr>
        <sz val="10"/>
        <rFont val="Arial"/>
        <family val="2"/>
      </rPr>
      <t>,</t>
    </r>
    <r>
      <rPr>
        <b/>
        <sz val="10"/>
        <color rgb="FF0070C0"/>
        <rFont val="Arial"/>
        <family val="2"/>
      </rPr>
      <t>wbs_range</t>
    </r>
    <r>
      <rPr>
        <sz val="10"/>
        <rFont val="Arial"/>
        <family val="2"/>
      </rPr>
      <t>,</t>
    </r>
    <r>
      <rPr>
        <b/>
        <sz val="10"/>
        <color rgb="FF7030A0"/>
        <rFont val="Arial"/>
        <family val="2"/>
      </rPr>
      <t>B13</t>
    </r>
    <r>
      <rPr>
        <sz val="10"/>
        <rFont val="Arial"/>
        <family val="2"/>
      </rPr>
      <t>&amp;".*")</t>
    </r>
  </si>
  <si>
    <r>
      <t xml:space="preserve">Note: </t>
    </r>
    <r>
      <rPr>
        <i/>
        <sz val="10"/>
        <rFont val="Arial"/>
        <family val="2"/>
      </rPr>
      <t>start_range</t>
    </r>
    <r>
      <rPr>
        <sz val="10"/>
        <rFont val="Arial"/>
        <family val="2"/>
      </rPr>
      <t xml:space="preserve">, </t>
    </r>
    <r>
      <rPr>
        <i/>
        <sz val="10"/>
        <rFont val="Arial"/>
        <family val="2"/>
      </rPr>
      <t>end_range</t>
    </r>
    <r>
      <rPr>
        <sz val="10"/>
        <rFont val="Arial"/>
        <family val="2"/>
      </rPr>
      <t xml:space="preserve">, and </t>
    </r>
    <r>
      <rPr>
        <i/>
        <sz val="10"/>
        <rFont val="Arial"/>
        <family val="2"/>
      </rPr>
      <t>wbs_range</t>
    </r>
    <r>
      <rPr>
        <sz val="10"/>
        <rFont val="Arial"/>
        <family val="2"/>
      </rPr>
      <t xml:space="preserve"> are named ranges that you can use in your formula. B13 is a reference to the WBS for the summary task row. </t>
    </r>
  </si>
  <si>
    <t>Calculate the %Done for a Summary Task</t>
  </si>
  <si>
    <t>The %Complete for a summary task can be calculated from its sub tasks using the formula below, where "workdays" is a reference to the range of work day values and "progress" is a reference to the %Done for each of the sub tasks.</t>
  </si>
  <si>
    <r>
      <t>=SUMPRODUCT(</t>
    </r>
    <r>
      <rPr>
        <i/>
        <sz val="10"/>
        <rFont val="Arial"/>
        <family val="2"/>
      </rPr>
      <t>workdays</t>
    </r>
    <r>
      <rPr>
        <b/>
        <sz val="10"/>
        <rFont val="Arial"/>
        <family val="2"/>
      </rPr>
      <t>,</t>
    </r>
    <r>
      <rPr>
        <i/>
        <sz val="10"/>
        <rFont val="Arial"/>
        <family val="2"/>
      </rPr>
      <t>progress</t>
    </r>
    <r>
      <rPr>
        <b/>
        <sz val="10"/>
        <rFont val="Arial"/>
        <family val="2"/>
      </rPr>
      <t>)/SUM(</t>
    </r>
    <r>
      <rPr>
        <i/>
        <sz val="10"/>
        <rFont val="Arial"/>
        <family val="2"/>
      </rPr>
      <t>workdays</t>
    </r>
    <r>
      <rPr>
        <b/>
        <sz val="10"/>
        <rFont val="Arial"/>
        <family val="2"/>
      </rPr>
      <t>)</t>
    </r>
  </si>
  <si>
    <t>Example: N13 =SUMPRODUCT(R14:R17,N14:N17)/SUM(R14:R17)</t>
  </si>
  <si>
    <r>
      <rPr>
        <i/>
        <sz val="10"/>
        <rFont val="Arial"/>
        <family val="2"/>
      </rPr>
      <t>How this works:</t>
    </r>
    <r>
      <rPr>
        <sz val="10"/>
        <rFont val="Arial"/>
        <family val="2"/>
      </rPr>
      <t xml:space="preserve"> 'Let's say you have 3 sub tasks that are 10 days, 12 days, and 14 days long, respectively. If the first subtask is 50% complete and the others are 25% complete, you could calculate the overall percent complete for the group as: =(10*50%+12*25%+14*25%)/(10+12+14).</t>
    </r>
  </si>
  <si>
    <r>
      <rPr>
        <b/>
        <sz val="10"/>
        <rFont val="Arial"/>
        <family val="2"/>
      </rPr>
      <t>Advanced Formulas for Excel 2013+</t>
    </r>
    <r>
      <rPr>
        <sz val="10"/>
        <rFont val="Arial"/>
        <family val="2"/>
      </rPr>
      <t>: Just like a grand total needs to ignore subtotals, when calculating the %Done for a summary task you need to avoid including other summary task rows. This can be done in Excel 2013 or later using ISFORMULA function to ignore rows that use a formula within the %Done column:</t>
    </r>
  </si>
  <si>
    <r>
      <t>=SUMPRODUCT(</t>
    </r>
    <r>
      <rPr>
        <i/>
        <sz val="10"/>
        <rFont val="Arial"/>
        <family val="2"/>
      </rPr>
      <t>workdays</t>
    </r>
    <r>
      <rPr>
        <b/>
        <sz val="10"/>
        <rFont val="Arial"/>
        <family val="2"/>
      </rPr>
      <t>,</t>
    </r>
    <r>
      <rPr>
        <i/>
        <sz val="10"/>
        <rFont val="Arial"/>
        <family val="2"/>
      </rPr>
      <t>progress</t>
    </r>
    <r>
      <rPr>
        <sz val="10"/>
        <rFont val="Arial"/>
        <family val="2"/>
      </rPr>
      <t>,1*NOT(ISFORMULA(</t>
    </r>
    <r>
      <rPr>
        <i/>
        <sz val="10"/>
        <rFont val="Arial"/>
        <family val="2"/>
      </rPr>
      <t>progress</t>
    </r>
    <r>
      <rPr>
        <sz val="10"/>
        <rFont val="Arial"/>
        <family val="2"/>
      </rPr>
      <t>))</t>
    </r>
    <r>
      <rPr>
        <b/>
        <sz val="10"/>
        <rFont val="Arial"/>
        <family val="2"/>
      </rPr>
      <t>)/SUMPRODUCT(</t>
    </r>
    <r>
      <rPr>
        <i/>
        <sz val="10"/>
        <rFont val="Arial"/>
        <family val="2"/>
      </rPr>
      <t>workdays</t>
    </r>
    <r>
      <rPr>
        <sz val="10"/>
        <rFont val="Arial"/>
        <family val="2"/>
      </rPr>
      <t>,1*NOT(ISFORMULA(</t>
    </r>
    <r>
      <rPr>
        <i/>
        <sz val="10"/>
        <rFont val="Arial"/>
        <family val="2"/>
      </rPr>
      <t>progress</t>
    </r>
    <r>
      <rPr>
        <sz val="10"/>
        <rFont val="Arial"/>
        <family val="2"/>
      </rPr>
      <t>))</t>
    </r>
    <r>
      <rPr>
        <b/>
        <sz val="10"/>
        <rFont val="Arial"/>
        <family val="2"/>
      </rPr>
      <t>)</t>
    </r>
  </si>
  <si>
    <t>Example: N13 =SUMPRODUCT(R14:R17,N14:N17,1*NOT(ISFORMULA(N14:N17)))/SUMPRODUCT(R14:R17,1*NOT(ISFORMULA(N14:N17)))</t>
  </si>
  <si>
    <r>
      <t>Calculate the Overall Progress</t>
    </r>
    <r>
      <rPr>
        <sz val="10"/>
        <rFont val="Arial"/>
        <family val="2"/>
      </rPr>
      <t>: The cell above the %Done column uses the above formula to calculate the overall progress, ignoring the rows that use a formula in the %Done column.</t>
    </r>
  </si>
  <si>
    <r>
      <rPr>
        <b/>
        <sz val="10"/>
        <rFont val="Arial"/>
        <family val="2"/>
      </rPr>
      <t>Simple Copy/Paste:</t>
    </r>
    <r>
      <rPr>
        <sz val="10"/>
        <rFont val="Arial"/>
        <family val="2"/>
      </rPr>
      <t xml:space="preserve"> The following advanced formula can be used to calculate %Done for summary tasks by just copying the formula as-is and pasting the formula into the %Done column. This works using relative named ranges and a comparison of the WBS values to ensure that only subtasks are included. Use Paste Special &gt; Formula to avoid pasting formatting.</t>
    </r>
  </si>
  <si>
    <t>=SUMPRODUCT(nextWorkDays:lastWorkDays,nextProgress:lastProgress,--(IFERROR(FIND(thisWBS&amp;".",nextWBS:lastWBS),0)=1),--NOT(ISFORMULA(nextProgress:lastProgress))) / SUMPRODUCT(nextWorkDays:lastWorkDays,--(IFERROR(FIND(thisWBS&amp;".",nextWBS:lastWBS),0)=1),--NOT(ISFORMULA(nextProgress:lastProgress)))</t>
  </si>
  <si>
    <t>Create Budget Subtotals for Summary Tasks</t>
  </si>
  <si>
    <r>
      <t>When using the Budget column (hidden by default), you can use =SUM(</t>
    </r>
    <r>
      <rPr>
        <i/>
        <sz val="10"/>
        <rFont val="Arial"/>
        <family val="2"/>
      </rPr>
      <t>range</t>
    </r>
    <r>
      <rPr>
        <sz val="10"/>
        <rFont val="Arial"/>
        <family val="2"/>
      </rPr>
      <t>) or =SUBTOTAL(9,</t>
    </r>
    <r>
      <rPr>
        <i/>
        <sz val="10"/>
        <rFont val="Arial"/>
        <family val="2"/>
      </rPr>
      <t>range</t>
    </r>
    <r>
      <rPr>
        <sz val="10"/>
        <rFont val="Arial"/>
        <family val="2"/>
      </rPr>
      <t xml:space="preserve">) within summary tasks rows to create subtotals for summary tasks, where </t>
    </r>
    <r>
      <rPr>
        <i/>
        <sz val="10"/>
        <rFont val="Arial"/>
        <family val="2"/>
      </rPr>
      <t>range</t>
    </r>
    <r>
      <rPr>
        <sz val="10"/>
        <rFont val="Arial"/>
        <family val="2"/>
      </rPr>
      <t xml:space="preserve"> is the range of budget values for the sub tasks.</t>
    </r>
  </si>
  <si>
    <t>The SUBTOTAL function allows you to exclude other SUBTOTAL formulas that may exist within the sum range. This is useful if you also want to calculate the overall budget.</t>
  </si>
  <si>
    <t>Show Planned vs. Actual in the Gantt Chart</t>
  </si>
  <si>
    <t>The Planned Start and Planned End columns are hidden by default. To show them, select columns R through W and then right-click on the column header and select "Unhide."</t>
  </si>
  <si>
    <r>
      <t xml:space="preserve">The best way to use this feature is to first create your plan using the main Task Start and Task Duration columns. Then, you can use Copy and Paste Special &gt; Values to copy the list of dates from columns P-Q into columns T-U. Make sure to use </t>
    </r>
    <r>
      <rPr>
        <b/>
        <sz val="10"/>
        <rFont val="Arial"/>
        <family val="2"/>
      </rPr>
      <t>Paste Special &gt; Values</t>
    </r>
    <r>
      <rPr>
        <sz val="10"/>
        <rFont val="Arial"/>
        <family val="2"/>
      </rPr>
      <t xml:space="preserve"> !</t>
    </r>
  </si>
  <si>
    <t>As you make changes to the Actual schedule, you will do that using the main Task Start and Task Duration input columns. The Planned Schedule will show up as a cross-hatched fill pattern in the Gantt chart. Turn this display on/off using the Display Plan drop-down box.</t>
  </si>
  <si>
    <t>FAQs</t>
  </si>
  <si>
    <t>Q:</t>
  </si>
  <si>
    <t>How do I turn off the green triangles when I enter a formula?</t>
  </si>
  <si>
    <t>If you add a formula in Excel, you may see a green "warning" triangle that will say "Unprotected Formula" or some other message if you investigate it. This is not usually an error. It is mostly just an annoying Excel feature. Visit the link below to learn how to turn off the green triangles for specific warnings.</t>
  </si>
  <si>
    <t>https://www.vertex42.com/support.html#solutions</t>
  </si>
  <si>
    <t>How do I hide weekends in the Daily view?</t>
  </si>
  <si>
    <t>There is not an automated way to hide weekends in this version, but you can hide columns manually if you want to remain in the Daily view. If you change the view to Weekly or Monthly, you'll need to unhide those columns.</t>
  </si>
  <si>
    <t>How do I change the Print Settings?</t>
  </si>
  <si>
    <t>Select the entire range of cells you want to print and go to File &gt; Print Area &gt; Set Print Area.</t>
  </si>
  <si>
    <t>Then go to File &gt; Page Setup or File &gt; Print Preview and adjust the Scaling, Margins, and</t>
  </si>
  <si>
    <t>Page Orientation as desired.</t>
  </si>
  <si>
    <t>How do I show or print my entire project schedule?</t>
  </si>
  <si>
    <t>(a) Unhide the hidden columns to the right of the Gantt Chart to extend the chart area.</t>
  </si>
  <si>
    <t>(b) Change the display to weekly, monthly, or quarterly to show a larger range of dates in the Gantt Chart.</t>
  </si>
  <si>
    <t>(c) Add more columns to the gantt chart area. See the following page for more details:</t>
  </si>
  <si>
    <t>https://www.vertex42.com/blog/help/gantt-chart-help/gantt-chart-support.html#printing</t>
  </si>
  <si>
    <t>Can I use Autofilter?</t>
  </si>
  <si>
    <t>Yes. However, avoid using Sort unless you know exactly what you are doing and how sorting will make all the WBS numbering change.</t>
  </si>
  <si>
    <t>I've messed up the chart area somehow. How do I fix it?</t>
  </si>
  <si>
    <t>Find a row that works, then copy the cells that make up the gantt chart area from that row into the row that is messed up. Or, find a recent backup file and start over from there.</t>
  </si>
  <si>
    <t>How do I transfer data from a different Gantt chart file?</t>
  </si>
  <si>
    <t>There is not an automated way to transfer data from a different file. However, very careful use of copy/paste can help save time. Only copy/paste to/from input cells. Do not paste over existing formulas. Use Paste Special &gt; Values to avoid messing up formatting.</t>
  </si>
  <si>
    <t>© 2006-2020 Vertex42 LLC</t>
  </si>
  <si>
    <t>used as a primary power source in this application.</t>
  </si>
  <si>
    <t xml:space="preserve">The global internal combustion engine market size was estimated at 170 million units in 2021 and is projected to register a compound annual growth rate (CAGR) of 9.3% from 2022 to 2030. Demand for the </t>
  </si>
  <si>
    <t xml:space="preserve">   </t>
  </si>
  <si>
    <t xml:space="preserve">This is </t>
  </si>
  <si>
    <t>Showed in the Org Chart</t>
  </si>
  <si>
    <r>
      <t xml:space="preserve">7. </t>
    </r>
    <r>
      <rPr>
        <sz val="11"/>
        <color theme="1"/>
        <rFont val="Aptos"/>
        <family val="2"/>
      </rPr>
      <t>This plan only considers the manufacturing of 530cc. The table below shows only 530cc manufacturing numbers per year.</t>
    </r>
  </si>
  <si>
    <r>
      <t xml:space="preserve">8. </t>
    </r>
    <r>
      <rPr>
        <sz val="11"/>
        <color theme="1"/>
        <rFont val="Aptos"/>
        <family val="2"/>
      </rPr>
      <t>The following table shows the CoGS details, number of engines produced per model in a 6 year period.</t>
    </r>
  </si>
  <si>
    <t>Office Manager/Accountant (25% of the job is HR management)</t>
  </si>
  <si>
    <r>
      <t xml:space="preserve">Payroll for CEO, CTO &amp; CE will begin in </t>
    </r>
    <r>
      <rPr>
        <b/>
        <sz val="11"/>
        <color rgb="FFFF0000"/>
        <rFont val="Aptos"/>
        <family val="2"/>
      </rPr>
      <t>first</t>
    </r>
    <r>
      <rPr>
        <sz val="11"/>
        <color theme="1"/>
        <rFont val="Aptos"/>
        <family val="2"/>
      </rPr>
      <t xml:space="preserve"> month. The rest of the staff are anticipated to be on board by the </t>
    </r>
    <r>
      <rPr>
        <b/>
        <sz val="11"/>
        <color rgb="FFFF0000"/>
        <rFont val="Aptos"/>
        <family val="2"/>
      </rPr>
      <t>third</t>
    </r>
    <r>
      <rPr>
        <sz val="11"/>
        <color theme="1"/>
        <rFont val="Aptos"/>
        <family val="2"/>
      </rPr>
      <t xml:space="preserve"> month.</t>
    </r>
  </si>
  <si>
    <r>
      <rPr>
        <b/>
        <sz val="11"/>
        <color theme="1"/>
        <rFont val="Aptos"/>
        <family val="2"/>
      </rPr>
      <t>(1)</t>
    </r>
    <r>
      <rPr>
        <sz val="11"/>
        <color theme="1"/>
        <rFont val="Aptos"/>
        <family val="2"/>
      </rPr>
      <t xml:space="preserve"> Once the staff is on board in the </t>
    </r>
    <r>
      <rPr>
        <b/>
        <sz val="11"/>
        <color rgb="FFFF0000"/>
        <rFont val="Aptos"/>
        <family val="2"/>
      </rPr>
      <t>third</t>
    </r>
    <r>
      <rPr>
        <sz val="11"/>
        <color theme="1"/>
        <rFont val="Aptos"/>
        <family val="2"/>
      </rPr>
      <t xml:space="preserve"> month, decisions will be made for the critical equipment selection and purchase made in the </t>
    </r>
    <r>
      <rPr>
        <b/>
        <sz val="11"/>
        <color rgb="FFFF0000"/>
        <rFont val="Aptos"/>
        <family val="2"/>
      </rPr>
      <t>fourth</t>
    </r>
    <r>
      <rPr>
        <sz val="11"/>
        <color theme="1"/>
        <rFont val="Aptos"/>
        <family val="2"/>
      </rPr>
      <t xml:space="preserve"> month.                                                            </t>
    </r>
    <r>
      <rPr>
        <b/>
        <sz val="11"/>
        <color theme="1"/>
        <rFont val="Aptos"/>
        <family val="2"/>
      </rPr>
      <t>(2)</t>
    </r>
    <r>
      <rPr>
        <sz val="11"/>
        <color theme="1"/>
        <rFont val="Aptos"/>
        <family val="2"/>
      </rPr>
      <t xml:space="preserve"> The first dynameter installation will be done in house by the staff with materials purchase estimated.</t>
    </r>
  </si>
  <si>
    <t>Debt Service</t>
  </si>
  <si>
    <t>Debt service estimate (service and payoff some loans)</t>
  </si>
  <si>
    <t>Power Point Technician</t>
  </si>
  <si>
    <t>Second CAD Engineer</t>
  </si>
  <si>
    <t>Mechanical Engineer</t>
  </si>
  <si>
    <t>One Misc Service Personnel</t>
  </si>
  <si>
    <r>
      <t xml:space="preserve">(1) The estimated outsourced CoGs for 530cc engine is approximately $900. (2) It is planned to have materials inventory to last </t>
    </r>
    <r>
      <rPr>
        <b/>
        <sz val="11"/>
        <color rgb="FFFF0000"/>
        <rFont val="Aptos"/>
        <family val="2"/>
      </rPr>
      <t>90</t>
    </r>
    <r>
      <rPr>
        <sz val="11"/>
        <color theme="1"/>
        <rFont val="Aptos"/>
        <family val="2"/>
      </rPr>
      <t xml:space="preserve"> days. (3) Purchase complete in </t>
    </r>
    <r>
      <rPr>
        <b/>
        <sz val="11"/>
        <color rgb="FFFF0000"/>
        <rFont val="Aptos"/>
        <family val="2"/>
      </rPr>
      <t>sixth</t>
    </r>
    <r>
      <rPr>
        <sz val="11"/>
        <color theme="1"/>
        <rFont val="Aptos"/>
        <family val="2"/>
      </rPr>
      <t xml:space="preserve"> month</t>
    </r>
  </si>
  <si>
    <t>Development of 150cc and 530cc</t>
  </si>
  <si>
    <t>COO (Engine engineering expertise is critical)</t>
  </si>
  <si>
    <t>VP of Engineering (CTO Candidate) (Succession planning for Dr. Moller)</t>
  </si>
  <si>
    <t>General Mechanic</t>
  </si>
  <si>
    <t>Second Misc Service Personnel</t>
  </si>
  <si>
    <r>
      <t xml:space="preserve">Effort begins early in previous phase and staff on board </t>
    </r>
    <r>
      <rPr>
        <b/>
        <sz val="11"/>
        <color rgb="FFFF0000"/>
        <rFont val="Aptos"/>
        <family val="2"/>
      </rPr>
      <t>tenth</t>
    </r>
    <r>
      <rPr>
        <sz val="11"/>
        <color theme="1"/>
        <rFont val="Aptos"/>
        <family val="2"/>
      </rPr>
      <t xml:space="preserve"> month</t>
    </r>
  </si>
  <si>
    <t>Cost associated with outsourced labor and materials</t>
  </si>
  <si>
    <t>Full Scale Production 530cc</t>
  </si>
  <si>
    <t>Beta Production Engines produced and sold</t>
  </si>
  <si>
    <r>
      <rPr>
        <b/>
        <sz val="11"/>
        <color rgb="FFFF0000"/>
        <rFont val="Aptos"/>
        <family val="2"/>
      </rPr>
      <t>Tenth</t>
    </r>
    <r>
      <rPr>
        <sz val="11"/>
        <color theme="1"/>
        <rFont val="Aptos"/>
        <family val="2"/>
      </rPr>
      <t xml:space="preserve"> month</t>
    </r>
  </si>
  <si>
    <t>Beta production starts month ten</t>
  </si>
  <si>
    <t>Total employees intiall hired in the first twelfth months are 23</t>
  </si>
  <si>
    <t>FM plans to invest revenues to expand production and increase staff accordingly</t>
  </si>
  <si>
    <t>Production year starts from second year and ramps up</t>
  </si>
  <si>
    <t>The annual total salaries for the employees is estimated at $3,301,969</t>
  </si>
  <si>
    <t>The Annual lease and misc utilities is estimated at $300,000</t>
  </si>
  <si>
    <t>Estimated costs for contracting subject matter experts and entities is $1,155,000 (includes outsourced services, patent and corporate attornies, tooling contracts, and SMEs)</t>
  </si>
  <si>
    <t>The total equipment purchase (with software) cost is estimated at $1,558,500 (FM already has mass manufacturing equipment and therefore the equipment purchase costs are low)</t>
  </si>
  <si>
    <t>Costs associated with purchases computers, workstations, printers, furniture and related equipment is estimated at $250,000</t>
  </si>
  <si>
    <t>For materials purchase, It is estimated that that approximately $300,000 spent every three months beginning from the beta production</t>
  </si>
  <si>
    <t xml:space="preserve">With the infusion of $6,000,000 in the first month, with mass production to begin thirteenth (13) month, at the end of seventy second (72) month </t>
  </si>
  <si>
    <t>the sales revenues are estimated over $147 million and cash on hand (EBITDA) over $118 million</t>
  </si>
  <si>
    <t>Office Equipment &amp; Furniture Purchases</t>
  </si>
  <si>
    <t>Full  production of 530cc</t>
  </si>
  <si>
    <t>Development of 27cc &amp; 75cc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</si>
</sst>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_);\(&quot;$&quot;#,##0\)"/>
    <numFmt numFmtId="6" formatCode="&quot;$&quot;#,##0_);[Red]\(&quot;$&quot;#,##0\)"/>
    <numFmt numFmtId="8" formatCode="&quot;$&quot;#,##0.00_);[Red]\(&quot;$&quot;#,##0.00\)"/>
    <numFmt numFmtId="43" formatCode="_(* #,##0.00_);_(* \(#,##0.00\);_(* &quot;-&quot;??_);_(@_)"/>
    <numFmt numFmtId="164" formatCode="&quot;$&quot;#,##0"/>
    <numFmt numFmtId="165" formatCode="0_);[Red]\(0\)"/>
    <numFmt numFmtId="166" formatCode="m/d/yy;@"/>
    <numFmt numFmtId="167" formatCode="d"/>
    <numFmt numFmtId="168" formatCode="ddd\,\ m/d/yyyy"/>
    <numFmt numFmtId="169" formatCode="_(* #,##0_);_(* \(#,##0\);_(* &quot;-&quot;??_);_(@_)"/>
    <numFmt numFmtId="170" formatCode="&quot;Year&quot;\ 0"/>
    <numFmt numFmtId="171" formatCode="_(* #,##0.0_);_(* \(#,##0.0\);_(* &quot;-&quot;??_);_(@_)"/>
    <numFmt numFmtId="172" formatCode="&quot;[Opex] &quot;0&quot;% Royalty&quot;"/>
    <numFmt numFmtId="173" formatCode="&quot;[Opex] &quot;0&quot;% R&amp;D&quot;"/>
    <numFmt numFmtId="174" formatCode="&quot;[Opex] &quot;0&quot;% Marketing&quot;"/>
    <numFmt numFmtId="175" formatCode="&quot;[Opex] &quot;0&quot;% G&amp;A&quot;"/>
    <numFmt numFmtId="176" formatCode="&quot;Income taxes @ &quot;0&quot;%&quot;"/>
    <numFmt numFmtId="177" formatCode="&quot;$&quot;#,##0.00"/>
    <numFmt numFmtId="178" formatCode="[$-409]ddd\ m/d/yyyy"/>
    <numFmt numFmtId="179" formatCode="[$-409]d\-mmm\-yyyy;@"/>
    <numFmt numFmtId="180" formatCode="[$-409]ddd\ m/dd/yy"/>
  </numFmts>
  <fonts count="110"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sz val="11"/>
      <color theme="0"/>
      <name val="Calibri"/>
      <family val="2"/>
      <scheme val="minor"/>
    </font>
    <font>
      <u/>
      <sz val="11"/>
      <color indexed="12"/>
      <name val="Arial"/>
      <family val="2"/>
    </font>
    <font>
      <sz val="14"/>
      <color theme="1"/>
      <name val="Calibri"/>
      <family val="2"/>
      <scheme val="minor"/>
    </font>
    <font>
      <sz val="10"/>
      <name val="Arial"/>
      <family val="2"/>
    </font>
    <font>
      <b/>
      <sz val="22"/>
      <color theme="1" tint="0.34998626667073579"/>
      <name val="Calibri Light"/>
      <family val="2"/>
      <scheme val="major"/>
    </font>
    <font>
      <sz val="10"/>
      <color theme="1"/>
      <name val="Verdana"/>
      <family val="2"/>
    </font>
    <font>
      <b/>
      <sz val="10"/>
      <color theme="0"/>
      <name val="Verdana"/>
      <family val="2"/>
    </font>
    <font>
      <b/>
      <sz val="10"/>
      <color theme="1"/>
      <name val="Verdana"/>
      <family val="2"/>
    </font>
    <font>
      <i/>
      <sz val="10"/>
      <color theme="1"/>
      <name val="Verdana"/>
      <family val="2"/>
    </font>
    <font>
      <b/>
      <i/>
      <sz val="10"/>
      <color theme="1"/>
      <name val="Verdana"/>
      <family val="2"/>
    </font>
    <font>
      <sz val="10"/>
      <color rgb="FF0000FF"/>
      <name val="Verdana"/>
      <family val="2"/>
    </font>
    <font>
      <b/>
      <sz val="10"/>
      <color rgb="FF000000"/>
      <name val="Verdana"/>
      <family val="2"/>
    </font>
    <font>
      <sz val="10"/>
      <name val="Verdana"/>
      <family val="2"/>
    </font>
    <font>
      <sz val="10"/>
      <color rgb="FF000000"/>
      <name val="Verdana"/>
      <family val="2"/>
    </font>
    <font>
      <b/>
      <sz val="10"/>
      <name val="Verdana"/>
      <family val="2"/>
    </font>
    <font>
      <i/>
      <sz val="10"/>
      <color rgb="FF000000"/>
      <name val="Verdana"/>
      <family val="2"/>
    </font>
    <font>
      <i/>
      <sz val="10"/>
      <name val="Verdana"/>
      <family val="2"/>
    </font>
    <font>
      <b/>
      <i/>
      <sz val="10"/>
      <color rgb="FF000000"/>
      <name val="Verdana"/>
      <family val="2"/>
    </font>
    <font>
      <b/>
      <sz val="12"/>
      <color rgb="FF666666"/>
      <name val="Arial"/>
      <family val="2"/>
    </font>
    <font>
      <b/>
      <sz val="18"/>
      <color theme="1"/>
      <name val="Aptos"/>
      <family val="2"/>
    </font>
    <font>
      <sz val="11"/>
      <color theme="1"/>
      <name val="Aptos"/>
      <family val="2"/>
    </font>
    <font>
      <b/>
      <sz val="12"/>
      <color theme="1"/>
      <name val="Aptos"/>
      <family val="2"/>
    </font>
    <font>
      <b/>
      <sz val="14"/>
      <color rgb="FF000000"/>
      <name val="Aptos"/>
      <family val="2"/>
    </font>
    <font>
      <sz val="11"/>
      <color rgb="FF000000"/>
      <name val="Aptos"/>
      <family val="2"/>
    </font>
    <font>
      <b/>
      <sz val="12"/>
      <color rgb="FF000000"/>
      <name val="Aptos"/>
      <family val="2"/>
    </font>
    <font>
      <sz val="11"/>
      <color rgb="FF000000"/>
      <name val="Calibri"/>
      <family val="2"/>
      <scheme val="minor"/>
    </font>
    <font>
      <b/>
      <sz val="14"/>
      <color theme="1"/>
      <name val="Aptos"/>
      <family val="2"/>
    </font>
    <font>
      <sz val="12"/>
      <color theme="1"/>
      <name val="Aptos"/>
      <family val="2"/>
    </font>
    <font>
      <b/>
      <sz val="11"/>
      <color theme="1"/>
      <name val="Aptos"/>
      <family val="2"/>
    </font>
    <font>
      <sz val="8"/>
      <name val="Calibri"/>
      <family val="2"/>
      <scheme val="minor"/>
    </font>
    <font>
      <u/>
      <sz val="12"/>
      <color theme="10"/>
      <name val="Calibri"/>
      <family val="2"/>
      <scheme val="minor"/>
    </font>
    <font>
      <sz val="12"/>
      <color theme="1"/>
      <name val="Calibri"/>
      <family val="2"/>
      <scheme val="minor"/>
    </font>
    <font>
      <b/>
      <u/>
      <sz val="16"/>
      <color theme="1"/>
      <name val="Aptos"/>
      <family val="2"/>
    </font>
    <font>
      <b/>
      <sz val="11"/>
      <color rgb="FFFF0000"/>
      <name val="Aptos"/>
      <family val="2"/>
    </font>
    <font>
      <sz val="11"/>
      <color rgb="FFFF0000"/>
      <name val="Aptos"/>
      <family val="2"/>
    </font>
    <font>
      <b/>
      <sz val="11"/>
      <color theme="9" tint="-0.249977111117893"/>
      <name val="Aptos"/>
      <family val="2"/>
    </font>
    <font>
      <b/>
      <sz val="11"/>
      <color theme="0"/>
      <name val="Aptos"/>
      <family val="2"/>
    </font>
    <font>
      <b/>
      <sz val="11"/>
      <name val="Aptos"/>
      <family val="2"/>
    </font>
    <font>
      <sz val="12"/>
      <color theme="0"/>
      <name val="Aptos"/>
      <family val="2"/>
    </font>
    <font>
      <b/>
      <sz val="12"/>
      <color theme="0"/>
      <name val="Aptos"/>
      <family val="2"/>
    </font>
    <font>
      <u/>
      <sz val="11"/>
      <color theme="0"/>
      <name val="Calibri"/>
      <family val="2"/>
      <scheme val="minor"/>
    </font>
    <font>
      <b/>
      <sz val="14"/>
      <color theme="0"/>
      <name val="Aptos"/>
      <family val="2"/>
    </font>
    <font>
      <sz val="18"/>
      <color theme="0"/>
      <name val="Calibri"/>
      <family val="2"/>
      <scheme val="minor"/>
    </font>
    <font>
      <sz val="14"/>
      <color theme="0"/>
      <name val="Calibri"/>
      <family val="2"/>
      <scheme val="minor"/>
    </font>
    <font>
      <sz val="14"/>
      <color theme="0"/>
      <name val="Arial"/>
      <family val="2"/>
    </font>
    <font>
      <i/>
      <sz val="8"/>
      <color theme="4" tint="0.39997558519241921"/>
      <name val="Arial"/>
      <family val="2"/>
    </font>
    <font>
      <sz val="10"/>
      <color theme="0"/>
      <name val="Arial"/>
      <family val="2"/>
    </font>
    <font>
      <sz val="9"/>
      <color theme="4" tint="-0.499984740745262"/>
      <name val="Arial"/>
      <family val="2"/>
    </font>
    <font>
      <sz val="8"/>
      <color theme="4" tint="-0.249977111117893"/>
      <name val="Arial"/>
      <family val="2"/>
    </font>
    <font>
      <sz val="8"/>
      <name val="Arial"/>
      <family val="2"/>
    </font>
    <font>
      <sz val="8"/>
      <color indexed="55"/>
      <name val="Arial"/>
      <family val="2"/>
    </font>
    <font>
      <sz val="8"/>
      <color theme="0" tint="-0.34998626667073579"/>
      <name val="Arial"/>
      <family val="2"/>
    </font>
    <font>
      <sz val="8"/>
      <color theme="1" tint="0.499984740745262"/>
      <name val="Arial"/>
      <family val="2"/>
    </font>
    <font>
      <sz val="9"/>
      <color theme="4" tint="-0.249977111117893"/>
      <name val="Arial"/>
      <family val="2"/>
    </font>
    <font>
      <sz val="9"/>
      <name val="Arial"/>
      <family val="2"/>
    </font>
    <font>
      <sz val="6"/>
      <color indexed="9"/>
      <name val="Arial"/>
      <family val="2"/>
    </font>
    <font>
      <sz val="8"/>
      <color theme="0"/>
      <name val="Arial Narrow"/>
      <family val="2"/>
    </font>
    <font>
      <sz val="8"/>
      <color theme="0"/>
      <name val="Arial"/>
      <family val="2"/>
    </font>
    <font>
      <sz val="9"/>
      <color theme="0"/>
      <name val="Arial"/>
      <family val="2"/>
    </font>
    <font>
      <b/>
      <sz val="8"/>
      <name val="Arial"/>
      <family val="2"/>
    </font>
    <font>
      <b/>
      <sz val="9"/>
      <name val="Arial"/>
      <family val="2"/>
    </font>
    <font>
      <sz val="10"/>
      <color rgb="FF0070C0"/>
      <name val="Arial"/>
      <family val="2"/>
    </font>
    <font>
      <sz val="8"/>
      <color rgb="FF000000"/>
      <name val="Arial"/>
      <family val="2"/>
    </font>
    <font>
      <sz val="9"/>
      <color rgb="FF000000"/>
      <name val="Arial"/>
      <family val="2"/>
    </font>
    <font>
      <sz val="10"/>
      <color theme="1" tint="0.14999847407452621"/>
      <name val="Arial"/>
      <family val="2"/>
    </font>
    <font>
      <i/>
      <sz val="8"/>
      <color rgb="FF000000"/>
      <name val="Arial"/>
      <family val="2"/>
    </font>
    <font>
      <b/>
      <i/>
      <sz val="8"/>
      <color rgb="FF000000"/>
      <name val="Arial"/>
      <family val="2"/>
    </font>
    <font>
      <b/>
      <sz val="18"/>
      <color theme="0"/>
      <name val="Arial"/>
      <family val="2"/>
    </font>
    <font>
      <sz val="8"/>
      <color theme="4" tint="-0.499984740745262"/>
      <name val="Arial"/>
      <family val="2"/>
    </font>
    <font>
      <sz val="10"/>
      <color theme="4" tint="-0.499984740745262"/>
      <name val="Arial"/>
      <family val="2"/>
    </font>
    <font>
      <i/>
      <sz val="8"/>
      <name val="Arial"/>
      <family val="2"/>
    </font>
    <font>
      <b/>
      <sz val="8"/>
      <color theme="0"/>
      <name val="Arial"/>
      <family val="2"/>
    </font>
    <font>
      <sz val="10"/>
      <name val="Arial"/>
      <family val="2"/>
    </font>
    <font>
      <u/>
      <sz val="10"/>
      <color indexed="12"/>
      <name val="Arial"/>
      <family val="2"/>
    </font>
    <font>
      <sz val="14"/>
      <color theme="4" tint="-0.249977111117893"/>
      <name val="Arial"/>
      <family val="2"/>
    </font>
    <font>
      <sz val="10"/>
      <color theme="4" tint="-0.249977111117893"/>
      <name val="Arial"/>
      <family val="2"/>
    </font>
    <font>
      <b/>
      <u/>
      <sz val="9"/>
      <color theme="4" tint="-0.249977111117893"/>
      <name val="Arial"/>
      <family val="2"/>
    </font>
    <font>
      <sz val="12"/>
      <color theme="0"/>
      <name val="Arial"/>
      <family val="2"/>
    </font>
    <font>
      <b/>
      <sz val="20"/>
      <color theme="0"/>
      <name val="Arial"/>
      <family val="2"/>
    </font>
    <font>
      <b/>
      <sz val="14"/>
      <color theme="4" tint="-0.249977111117893"/>
      <name val="Arial"/>
      <family val="2"/>
    </font>
    <font>
      <b/>
      <u/>
      <sz val="10"/>
      <color indexed="12"/>
      <name val="Arial"/>
      <family val="2"/>
    </font>
    <font>
      <b/>
      <sz val="10"/>
      <name val="Arial"/>
      <family val="2"/>
    </font>
    <font>
      <sz val="10"/>
      <color rgb="FF000000"/>
      <name val="Arial"/>
      <family val="2"/>
    </font>
    <font>
      <b/>
      <sz val="10"/>
      <color rgb="FF000000"/>
      <name val="Arial"/>
      <family val="2"/>
    </font>
    <font>
      <i/>
      <sz val="10"/>
      <name val="Arial"/>
      <family val="2"/>
    </font>
    <font>
      <b/>
      <u/>
      <sz val="10"/>
      <color theme="0"/>
      <name val="Arial"/>
      <family val="2"/>
    </font>
    <font>
      <sz val="10"/>
      <color theme="0"/>
      <name val="Segoe UI Symbol"/>
      <family val="2"/>
    </font>
    <font>
      <b/>
      <sz val="12"/>
      <color theme="0"/>
      <name val="Arial"/>
      <family val="2"/>
    </font>
    <font>
      <b/>
      <sz val="10"/>
      <color theme="0"/>
      <name val="Arial"/>
      <family val="2"/>
    </font>
    <font>
      <b/>
      <sz val="10"/>
      <color theme="4" tint="-0.249977111117893"/>
      <name val="Arial"/>
      <family val="2"/>
    </font>
    <font>
      <b/>
      <sz val="12"/>
      <color theme="4" tint="-0.249977111117893"/>
      <name val="Arial"/>
      <family val="2"/>
    </font>
    <font>
      <sz val="12"/>
      <color rgb="FF0070C0"/>
      <name val="Arial"/>
      <family val="2"/>
    </font>
    <font>
      <sz val="12"/>
      <name val="Arial"/>
      <family val="2"/>
    </font>
    <font>
      <b/>
      <sz val="9"/>
      <color theme="0"/>
      <name val="Arial"/>
      <family val="2"/>
    </font>
    <font>
      <sz val="8"/>
      <color theme="0" tint="-0.249977111117893"/>
      <name val="Arial"/>
      <family val="2"/>
    </font>
    <font>
      <b/>
      <sz val="10"/>
      <color rgb="FFC00000"/>
      <name val="Arial"/>
      <family val="2"/>
    </font>
    <font>
      <b/>
      <sz val="10"/>
      <color rgb="FFCC3300"/>
      <name val="Arial"/>
      <family val="2"/>
    </font>
    <font>
      <sz val="12"/>
      <color theme="4" tint="-0.249977111117893"/>
      <name val="Arial"/>
      <family val="2"/>
    </font>
    <font>
      <b/>
      <sz val="12"/>
      <name val="Arial"/>
      <family val="2"/>
    </font>
    <font>
      <i/>
      <sz val="10"/>
      <color rgb="FF000000"/>
      <name val="Arial"/>
      <family val="2"/>
    </font>
    <font>
      <b/>
      <i/>
      <sz val="10"/>
      <color theme="3"/>
      <name val="Arial"/>
      <family val="2"/>
    </font>
    <font>
      <b/>
      <sz val="10"/>
      <color rgb="FF006600"/>
      <name val="Arial"/>
      <family val="2"/>
    </font>
    <font>
      <b/>
      <sz val="10"/>
      <color rgb="FF0070C0"/>
      <name val="Arial"/>
      <family val="2"/>
    </font>
    <font>
      <b/>
      <sz val="10"/>
      <color rgb="FF7030A0"/>
      <name val="Arial"/>
      <family val="2"/>
    </font>
    <font>
      <b/>
      <sz val="12"/>
      <color theme="4" tint="-0.499984740745262"/>
      <name val="Arial"/>
      <family val="2"/>
    </font>
    <font>
      <b/>
      <sz val="8"/>
      <color rgb="FF000000"/>
      <name val="Arial"/>
      <family val="2"/>
    </font>
  </fonts>
  <fills count="33">
    <fill>
      <patternFill patternType="none"/>
    </fill>
    <fill>
      <patternFill patternType="gray125"/>
    </fill>
    <fill>
      <patternFill patternType="solid">
        <fgColor theme="4" tint="0.59999389629810485"/>
        <bgColor indexed="64"/>
      </patternFill>
    </fill>
    <fill>
      <patternFill patternType="solid">
        <fgColor rgb="FFFFFF00"/>
        <bgColor indexed="64"/>
      </patternFill>
    </fill>
    <fill>
      <patternFill patternType="solid">
        <fgColor theme="7"/>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9" tint="0.39997558519241921"/>
        <bgColor indexed="64"/>
      </patternFill>
    </fill>
    <fill>
      <patternFill patternType="solid">
        <fgColor rgb="FF00B050"/>
        <bgColor indexed="64"/>
      </patternFill>
    </fill>
    <fill>
      <patternFill patternType="solid">
        <fgColor rgb="FFFF0000"/>
        <bgColor indexed="64"/>
      </patternFill>
    </fill>
    <fill>
      <patternFill patternType="solid">
        <fgColor theme="4" tint="0.39997558519241921"/>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rgb="FF002060"/>
        <bgColor indexed="64"/>
      </patternFill>
    </fill>
    <fill>
      <patternFill patternType="solid">
        <fgColor theme="5" tint="-0.249977111117893"/>
        <bgColor indexed="64"/>
      </patternFill>
    </fill>
    <fill>
      <patternFill patternType="solid">
        <fgColor theme="9" tint="0.59999389629810485"/>
        <bgColor indexed="64"/>
      </patternFill>
    </fill>
    <fill>
      <patternFill patternType="solid">
        <fgColor theme="4"/>
        <bgColor indexed="64"/>
      </patternFill>
    </fill>
    <fill>
      <patternFill patternType="lightUp">
        <fgColor theme="1" tint="0.499984740745262"/>
        <bgColor indexed="65"/>
      </patternFill>
    </fill>
    <fill>
      <patternFill patternType="solid">
        <fgColor theme="0" tint="-0.34998626667073579"/>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theme="0" tint="-4.9989318521683403E-2"/>
        <bgColor rgb="FFD9D9D9"/>
      </patternFill>
    </fill>
    <fill>
      <patternFill patternType="solid">
        <fgColor rgb="FF3464AB"/>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rgb="FFE6B8B6"/>
        <bgColor indexed="64"/>
      </patternFill>
    </fill>
    <fill>
      <patternFill patternType="solid">
        <fgColor theme="9" tint="0.79998168889431442"/>
        <bgColor indexed="64"/>
      </patternFill>
    </fill>
  </fills>
  <borders count="55">
    <border>
      <left/>
      <right/>
      <top/>
      <bottom/>
      <diagonal/>
    </border>
    <border>
      <left/>
      <right style="thin">
        <color auto="1"/>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theme="0" tint="-0.14996795556505021"/>
      </top>
      <bottom style="medium">
        <color theme="0" tint="-0.1499679555650502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auto="1"/>
      </left>
      <right/>
      <top/>
      <bottom/>
      <diagonal/>
    </border>
    <border>
      <left/>
      <right style="thin">
        <color auto="1"/>
      </right>
      <top/>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theme="4" tint="0.79998168889431442"/>
      </left>
      <right style="medium">
        <color theme="4" tint="0.79998168889431442"/>
      </right>
      <top style="medium">
        <color theme="4" tint="0.79998168889431442"/>
      </top>
      <bottom style="medium">
        <color theme="4" tint="0.79998168889431442"/>
      </bottom>
      <diagonal/>
    </border>
    <border>
      <left style="medium">
        <color theme="0" tint="-0.24994659260841701"/>
      </left>
      <right style="medium">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diagonal/>
    </border>
    <border>
      <left/>
      <right/>
      <top style="thin">
        <color rgb="FFEAEAEA"/>
      </top>
      <bottom style="thin">
        <color rgb="FFEAEAEA"/>
      </bottom>
      <diagonal/>
    </border>
    <border>
      <left style="thin">
        <color theme="0" tint="-0.24994659260841701"/>
      </left>
      <right/>
      <top style="thin">
        <color rgb="FFEAEAEA"/>
      </top>
      <bottom style="thin">
        <color rgb="FFEAEAEA"/>
      </bottom>
      <diagonal/>
    </border>
    <border>
      <left/>
      <right style="thin">
        <color theme="0" tint="-0.24994659260841701"/>
      </right>
      <top style="thin">
        <color rgb="FFEAEAEA"/>
      </top>
      <bottom style="thin">
        <color rgb="FFEAEAEA"/>
      </bottom>
      <diagonal/>
    </border>
    <border>
      <left style="thin">
        <color theme="0" tint="-0.24994659260841701"/>
      </left>
      <right style="thin">
        <color theme="0" tint="-0.24994659260841701"/>
      </right>
      <top style="thin">
        <color rgb="FFEAEAEA"/>
      </top>
      <bottom style="thin">
        <color rgb="FFEAEAEA"/>
      </bottom>
      <diagonal/>
    </border>
    <border>
      <left/>
      <right/>
      <top/>
      <bottom style="thin">
        <color rgb="FF3464AB"/>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theme="4" tint="0.79995117038483843"/>
      </top>
      <bottom style="thin">
        <color theme="4" tint="0.79995117038483843"/>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theme="4" tint="0.79995117038483843"/>
      </bottom>
      <diagonal/>
    </border>
    <border>
      <left style="medium">
        <color indexed="64"/>
      </left>
      <right style="medium">
        <color indexed="64"/>
      </right>
      <top style="thin">
        <color theme="4" tint="0.79995117038483843"/>
      </top>
      <bottom/>
      <diagonal/>
    </border>
    <border>
      <left style="thick">
        <color theme="4"/>
      </left>
      <right style="thick">
        <color theme="4"/>
      </right>
      <top style="thick">
        <color theme="4"/>
      </top>
      <bottom style="thin">
        <color theme="4"/>
      </bottom>
      <diagonal/>
    </border>
    <border>
      <left style="thick">
        <color theme="4"/>
      </left>
      <right style="thick">
        <color theme="4"/>
      </right>
      <top style="thin">
        <color theme="4"/>
      </top>
      <bottom style="thin">
        <color theme="4"/>
      </bottom>
      <diagonal/>
    </border>
    <border>
      <left style="thick">
        <color theme="4"/>
      </left>
      <right style="thick">
        <color theme="4"/>
      </right>
      <top style="thin">
        <color theme="4"/>
      </top>
      <bottom/>
      <diagonal/>
    </border>
    <border>
      <left style="thick">
        <color theme="4"/>
      </left>
      <right style="thick">
        <color theme="4"/>
      </right>
      <top style="thin">
        <color theme="4"/>
      </top>
      <bottom style="thick">
        <color theme="4"/>
      </bottom>
      <diagonal/>
    </border>
    <border>
      <left style="thick">
        <color theme="4"/>
      </left>
      <right style="thick">
        <color theme="4"/>
      </right>
      <top style="thick">
        <color theme="4"/>
      </top>
      <bottom style="thick">
        <color theme="4"/>
      </bottom>
      <diagonal/>
    </border>
    <border>
      <left style="thin">
        <color theme="4"/>
      </left>
      <right style="thin">
        <color theme="4"/>
      </right>
      <top style="thin">
        <color theme="4"/>
      </top>
      <bottom style="thin">
        <color theme="4"/>
      </bottom>
      <diagonal/>
    </border>
  </borders>
  <cellStyleXfs count="18">
    <xf numFmtId="0" fontId="0" fillId="0" borderId="0"/>
    <xf numFmtId="0" fontId="2" fillId="0" borderId="0" applyNumberFormat="0" applyFill="0" applyBorder="0" applyAlignment="0" applyProtection="0"/>
    <xf numFmtId="0" fontId="4" fillId="0" borderId="0"/>
    <xf numFmtId="0" fontId="5" fillId="0" borderId="0" applyNumberFormat="0" applyFill="0" applyBorder="0" applyAlignment="0" applyProtection="0">
      <alignment vertical="top"/>
      <protection locked="0"/>
    </xf>
    <xf numFmtId="9" fontId="3" fillId="0" borderId="0" applyFont="0" applyFill="0" applyBorder="0" applyAlignment="0" applyProtection="0"/>
    <xf numFmtId="166" fontId="3" fillId="0" borderId="24" applyFill="0">
      <alignment horizontal="center" vertical="center"/>
    </xf>
    <xf numFmtId="0" fontId="3" fillId="0" borderId="24" applyFill="0">
      <alignment horizontal="center" vertical="center"/>
    </xf>
    <xf numFmtId="0" fontId="3" fillId="0" borderId="24" applyFill="0">
      <alignment horizontal="left" vertical="center" indent="2"/>
    </xf>
    <xf numFmtId="0" fontId="3" fillId="0" borderId="0" applyNumberFormat="0" applyFill="0" applyProtection="0">
      <alignment horizontal="right" indent="1"/>
    </xf>
    <xf numFmtId="0" fontId="6" fillId="0" borderId="0" applyNumberFormat="0" applyFill="0" applyProtection="0">
      <alignment vertical="top"/>
    </xf>
    <xf numFmtId="0" fontId="6" fillId="0" borderId="0" applyNumberFormat="0" applyFill="0" applyAlignment="0" applyProtection="0"/>
    <xf numFmtId="168" fontId="3" fillId="0" borderId="25">
      <alignment horizontal="center" vertical="center"/>
    </xf>
    <xf numFmtId="0" fontId="8" fillId="0" borderId="0" applyNumberFormat="0" applyFill="0" applyBorder="0" applyAlignment="0" applyProtection="0"/>
    <xf numFmtId="43" fontId="3" fillId="0" borderId="0" applyFont="0" applyFill="0" applyBorder="0" applyAlignment="0" applyProtection="0"/>
    <xf numFmtId="0" fontId="7" fillId="0" borderId="0"/>
    <xf numFmtId="9" fontId="7" fillId="0" borderId="0" applyFont="0" applyFill="0" applyBorder="0" applyAlignment="0" applyProtection="0"/>
    <xf numFmtId="0" fontId="76" fillId="0" borderId="0"/>
    <xf numFmtId="0" fontId="77" fillId="0" borderId="0" applyNumberFormat="0" applyFill="0" applyBorder="0" applyAlignment="0" applyProtection="0">
      <alignment vertical="top"/>
      <protection locked="0"/>
    </xf>
  </cellStyleXfs>
  <cellXfs count="613">
    <xf numFmtId="0" fontId="0" fillId="0" borderId="0" xfId="0"/>
    <xf numFmtId="0" fontId="0" fillId="5" borderId="17" xfId="0" applyFill="1" applyBorder="1"/>
    <xf numFmtId="0" fontId="0" fillId="9" borderId="0" xfId="0" applyFill="1"/>
    <xf numFmtId="0" fontId="0" fillId="5" borderId="17" xfId="0" applyFill="1" applyBorder="1" applyAlignment="1">
      <alignment horizontal="center" vertical="center"/>
    </xf>
    <xf numFmtId="3" fontId="0" fillId="5" borderId="17" xfId="0" applyNumberFormat="1" applyFill="1" applyBorder="1" applyAlignment="1">
      <alignment horizontal="center" vertical="center"/>
    </xf>
    <xf numFmtId="0" fontId="0" fillId="14" borderId="17" xfId="0" applyFill="1" applyBorder="1" applyAlignment="1">
      <alignment horizontal="center" vertical="center"/>
    </xf>
    <xf numFmtId="3" fontId="0" fillId="14" borderId="17" xfId="0" applyNumberFormat="1" applyFill="1" applyBorder="1" applyAlignment="1">
      <alignment horizontal="center" vertical="center"/>
    </xf>
    <xf numFmtId="0" fontId="1" fillId="13" borderId="17" xfId="0" applyFont="1" applyFill="1" applyBorder="1" applyAlignment="1">
      <alignment horizontal="center" vertical="center"/>
    </xf>
    <xf numFmtId="0" fontId="0" fillId="0" borderId="17" xfId="0" applyBorder="1"/>
    <xf numFmtId="6" fontId="0" fillId="3" borderId="0" xfId="0" applyNumberFormat="1" applyFill="1" applyProtection="1">
      <protection locked="0"/>
    </xf>
    <xf numFmtId="165" fontId="0" fillId="3" borderId="0" xfId="0" applyNumberFormat="1" applyFill="1" applyProtection="1">
      <protection locked="0"/>
    </xf>
    <xf numFmtId="10" fontId="0" fillId="3" borderId="0" xfId="0" applyNumberFormat="1" applyFill="1" applyProtection="1">
      <protection locked="0"/>
    </xf>
    <xf numFmtId="0" fontId="2" fillId="9" borderId="0" xfId="1" applyFill="1" applyProtection="1">
      <protection locked="0"/>
    </xf>
    <xf numFmtId="8" fontId="0" fillId="3" borderId="0" xfId="0" applyNumberFormat="1" applyFill="1" applyProtection="1">
      <protection locked="0"/>
    </xf>
    <xf numFmtId="0" fontId="1" fillId="9" borderId="0" xfId="0" applyFont="1" applyFill="1" applyAlignment="1">
      <alignment horizontal="right"/>
    </xf>
    <xf numFmtId="6" fontId="1" fillId="4" borderId="0" xfId="0" applyNumberFormat="1" applyFont="1" applyFill="1"/>
    <xf numFmtId="6" fontId="0" fillId="9" borderId="0" xfId="0" applyNumberFormat="1" applyFill="1"/>
    <xf numFmtId="10" fontId="0" fillId="9" borderId="0" xfId="0" applyNumberFormat="1" applyFill="1"/>
    <xf numFmtId="0" fontId="0" fillId="9" borderId="0" xfId="0" applyFill="1" applyAlignment="1">
      <alignment horizontal="right"/>
    </xf>
    <xf numFmtId="9" fontId="1" fillId="4" borderId="0" xfId="0" applyNumberFormat="1" applyFont="1" applyFill="1" applyAlignment="1">
      <alignment horizontal="center"/>
    </xf>
    <xf numFmtId="8" fontId="0" fillId="9" borderId="0" xfId="0" applyNumberFormat="1" applyFill="1"/>
    <xf numFmtId="8" fontId="1" fillId="4" borderId="0" xfId="0" applyNumberFormat="1" applyFont="1" applyFill="1"/>
    <xf numFmtId="0" fontId="0" fillId="9" borderId="0" xfId="0" applyFill="1" applyAlignment="1">
      <alignment horizontal="right" vertical="center"/>
    </xf>
    <xf numFmtId="0" fontId="0" fillId="0" borderId="0" xfId="0" applyAlignment="1">
      <alignment horizontal="center" vertical="center"/>
    </xf>
    <xf numFmtId="164" fontId="0" fillId="0" borderId="17" xfId="0" applyNumberFormat="1" applyBorder="1" applyAlignment="1">
      <alignment horizontal="center" vertical="center"/>
    </xf>
    <xf numFmtId="0" fontId="0" fillId="0" borderId="17" xfId="0" applyBorder="1" applyAlignment="1">
      <alignment horizontal="center" vertical="center"/>
    </xf>
    <xf numFmtId="0" fontId="0" fillId="9" borderId="16" xfId="0" applyFill="1" applyBorder="1"/>
    <xf numFmtId="0" fontId="0" fillId="9" borderId="13" xfId="0" applyFill="1" applyBorder="1"/>
    <xf numFmtId="0" fontId="0" fillId="9" borderId="12" xfId="0" applyFill="1" applyBorder="1"/>
    <xf numFmtId="0" fontId="2" fillId="9" borderId="12" xfId="1" applyFill="1" applyBorder="1"/>
    <xf numFmtId="0" fontId="0" fillId="9" borderId="11" xfId="0" applyFill="1" applyBorder="1"/>
    <xf numFmtId="0" fontId="0" fillId="9" borderId="10" xfId="0" applyFill="1" applyBorder="1"/>
    <xf numFmtId="0" fontId="0" fillId="9" borderId="9" xfId="0" applyFill="1" applyBorder="1"/>
    <xf numFmtId="0" fontId="9" fillId="18" borderId="0" xfId="0" applyFont="1" applyFill="1"/>
    <xf numFmtId="0" fontId="9" fillId="0" borderId="0" xfId="0" applyFont="1"/>
    <xf numFmtId="0" fontId="9" fillId="0" borderId="0" xfId="0" applyFont="1" applyAlignment="1">
      <alignment horizontal="center"/>
    </xf>
    <xf numFmtId="169" fontId="9" fillId="0" borderId="0" xfId="0" applyNumberFormat="1" applyFont="1" applyAlignment="1">
      <alignment horizontal="center"/>
    </xf>
    <xf numFmtId="0" fontId="10" fillId="19" borderId="6" xfId="0" applyFont="1" applyFill="1" applyBorder="1"/>
    <xf numFmtId="170" fontId="10" fillId="19" borderId="7" xfId="0" applyNumberFormat="1" applyFont="1" applyFill="1" applyBorder="1" applyAlignment="1">
      <alignment horizontal="right"/>
    </xf>
    <xf numFmtId="0" fontId="10" fillId="19" borderId="8" xfId="0" applyFont="1" applyFill="1" applyBorder="1" applyAlignment="1">
      <alignment horizontal="right"/>
    </xf>
    <xf numFmtId="0" fontId="11" fillId="0" borderId="0" xfId="0" applyFont="1"/>
    <xf numFmtId="0" fontId="9" fillId="0" borderId="26" xfId="0" applyFont="1" applyBorder="1"/>
    <xf numFmtId="0" fontId="9" fillId="0" borderId="27" xfId="0" applyFont="1" applyBorder="1" applyAlignment="1">
      <alignment horizontal="center"/>
    </xf>
    <xf numFmtId="169" fontId="9" fillId="0" borderId="0" xfId="13" applyNumberFormat="1" applyFont="1" applyFill="1" applyBorder="1" applyAlignment="1">
      <alignment horizontal="center"/>
    </xf>
    <xf numFmtId="169" fontId="11" fillId="0" borderId="27" xfId="13" applyNumberFormat="1" applyFont="1" applyFill="1" applyBorder="1" applyAlignment="1">
      <alignment horizontal="center"/>
    </xf>
    <xf numFmtId="169" fontId="9" fillId="0" borderId="5" xfId="13" applyNumberFormat="1" applyFont="1" applyFill="1" applyBorder="1" applyAlignment="1">
      <alignment horizontal="center"/>
    </xf>
    <xf numFmtId="169" fontId="11" fillId="0" borderId="1" xfId="13" applyNumberFormat="1" applyFont="1" applyFill="1" applyBorder="1" applyAlignment="1">
      <alignment horizontal="center"/>
    </xf>
    <xf numFmtId="0" fontId="12" fillId="0" borderId="26" xfId="0" applyFont="1" applyBorder="1" applyAlignment="1">
      <alignment horizontal="left" indent="2"/>
    </xf>
    <xf numFmtId="9" fontId="12" fillId="0" borderId="0" xfId="4" applyFont="1" applyFill="1" applyBorder="1" applyAlignment="1">
      <alignment horizontal="right"/>
    </xf>
    <xf numFmtId="9" fontId="13" fillId="0" borderId="27" xfId="4" applyFont="1" applyFill="1" applyBorder="1" applyAlignment="1">
      <alignment horizontal="right"/>
    </xf>
    <xf numFmtId="171" fontId="9" fillId="0" borderId="0" xfId="13" applyNumberFormat="1" applyFont="1" applyFill="1" applyBorder="1" applyAlignment="1">
      <alignment horizontal="center"/>
    </xf>
    <xf numFmtId="171" fontId="11" fillId="0" borderId="27" xfId="13" applyNumberFormat="1" applyFont="1" applyFill="1" applyBorder="1" applyAlignment="1">
      <alignment horizontal="center"/>
    </xf>
    <xf numFmtId="164" fontId="9" fillId="18" borderId="0" xfId="0" applyNumberFormat="1" applyFont="1" applyFill="1"/>
    <xf numFmtId="0" fontId="12" fillId="0" borderId="4" xfId="0" applyFont="1" applyBorder="1" applyAlignment="1">
      <alignment horizontal="left" indent="2"/>
    </xf>
    <xf numFmtId="9" fontId="12" fillId="0" borderId="5" xfId="4" applyFont="1" applyFill="1" applyBorder="1" applyAlignment="1">
      <alignment horizontal="right"/>
    </xf>
    <xf numFmtId="9" fontId="13" fillId="0" borderId="1" xfId="4" applyFont="1" applyFill="1" applyBorder="1" applyAlignment="1">
      <alignment horizontal="right"/>
    </xf>
    <xf numFmtId="171" fontId="9" fillId="0" borderId="27" xfId="13" applyNumberFormat="1" applyFont="1" applyFill="1" applyBorder="1" applyAlignment="1">
      <alignment horizontal="center"/>
    </xf>
    <xf numFmtId="0" fontId="11" fillId="0" borderId="26" xfId="0" applyFont="1" applyBorder="1"/>
    <xf numFmtId="0" fontId="11" fillId="2" borderId="26" xfId="0" applyFont="1" applyFill="1" applyBorder="1"/>
    <xf numFmtId="171" fontId="9" fillId="2" borderId="0" xfId="13" applyNumberFormat="1" applyFont="1" applyFill="1" applyBorder="1" applyAlignment="1">
      <alignment horizontal="center"/>
    </xf>
    <xf numFmtId="171" fontId="9" fillId="2" borderId="27" xfId="13" applyNumberFormat="1" applyFont="1" applyFill="1" applyBorder="1" applyAlignment="1">
      <alignment horizontal="center"/>
    </xf>
    <xf numFmtId="171" fontId="9" fillId="15" borderId="0" xfId="13" applyNumberFormat="1" applyFont="1" applyFill="1" applyBorder="1" applyAlignment="1">
      <alignment horizontal="center"/>
    </xf>
    <xf numFmtId="171" fontId="9" fillId="15" borderId="27" xfId="13" applyNumberFormat="1" applyFont="1" applyFill="1" applyBorder="1" applyAlignment="1">
      <alignment horizontal="center"/>
    </xf>
    <xf numFmtId="0" fontId="9" fillId="0" borderId="4" xfId="0" applyFont="1" applyBorder="1"/>
    <xf numFmtId="0" fontId="9" fillId="18" borderId="0" xfId="0" applyFont="1" applyFill="1" applyAlignment="1">
      <alignment horizontal="center"/>
    </xf>
    <xf numFmtId="0" fontId="9" fillId="0" borderId="27" xfId="0" applyFont="1" applyBorder="1"/>
    <xf numFmtId="0" fontId="10" fillId="19" borderId="6" xfId="0" applyFont="1" applyFill="1" applyBorder="1" applyAlignment="1">
      <alignment horizontal="centerContinuous"/>
    </xf>
    <xf numFmtId="0" fontId="10" fillId="19" borderId="7" xfId="0" applyFont="1" applyFill="1" applyBorder="1" applyAlignment="1">
      <alignment horizontal="centerContinuous"/>
    </xf>
    <xf numFmtId="0" fontId="10" fillId="19" borderId="8" xfId="0" applyFont="1" applyFill="1" applyBorder="1" applyAlignment="1">
      <alignment horizontal="centerContinuous"/>
    </xf>
    <xf numFmtId="0" fontId="15" fillId="16" borderId="6" xfId="0" applyFont="1" applyFill="1" applyBorder="1" applyAlignment="1">
      <alignment horizontal="left" vertical="center" wrapText="1" indent="1" readingOrder="1"/>
    </xf>
    <xf numFmtId="169" fontId="14" fillId="16" borderId="7" xfId="13" applyNumberFormat="1" applyFont="1" applyFill="1" applyBorder="1" applyAlignment="1">
      <alignment horizontal="right" vertical="center" wrapText="1" indent="1" readingOrder="1"/>
    </xf>
    <xf numFmtId="169" fontId="14" fillId="16" borderId="8" xfId="13" applyNumberFormat="1" applyFont="1" applyFill="1" applyBorder="1" applyAlignment="1">
      <alignment horizontal="right" vertical="center" wrapText="1" indent="1" readingOrder="1"/>
    </xf>
    <xf numFmtId="0" fontId="16" fillId="0" borderId="26" xfId="0" applyFont="1" applyBorder="1" applyAlignment="1">
      <alignment horizontal="right" vertical="center" wrapText="1" indent="1"/>
    </xf>
    <xf numFmtId="170" fontId="15" fillId="0" borderId="5" xfId="0" applyNumberFormat="1" applyFont="1" applyBorder="1" applyAlignment="1">
      <alignment horizontal="right" vertical="center" wrapText="1" readingOrder="1"/>
    </xf>
    <xf numFmtId="0" fontId="15" fillId="0" borderId="1" xfId="0" applyFont="1" applyBorder="1" applyAlignment="1">
      <alignment horizontal="right" vertical="center" wrapText="1" readingOrder="1"/>
    </xf>
    <xf numFmtId="169" fontId="11" fillId="18" borderId="0" xfId="13" applyNumberFormat="1" applyFont="1" applyFill="1"/>
    <xf numFmtId="0" fontId="17" fillId="0" borderId="26" xfId="0" applyFont="1" applyBorder="1" applyAlignment="1">
      <alignment horizontal="left" vertical="center" wrapText="1" indent="1" readingOrder="1"/>
    </xf>
    <xf numFmtId="169" fontId="17" fillId="0" borderId="27" xfId="13" applyNumberFormat="1" applyFont="1" applyFill="1" applyBorder="1" applyAlignment="1">
      <alignment horizontal="right" vertical="center" wrapText="1" indent="1" readingOrder="1"/>
    </xf>
    <xf numFmtId="0" fontId="11" fillId="18" borderId="0" xfId="0" applyFont="1" applyFill="1"/>
    <xf numFmtId="0" fontId="17" fillId="18" borderId="0" xfId="0" applyFont="1" applyFill="1" applyAlignment="1">
      <alignment horizontal="left" vertical="center" wrapText="1" indent="5" readingOrder="1"/>
    </xf>
    <xf numFmtId="169" fontId="14" fillId="0" borderId="5" xfId="13" applyNumberFormat="1" applyFont="1" applyFill="1" applyBorder="1" applyAlignment="1">
      <alignment horizontal="right" vertical="center" wrapText="1" indent="1" readingOrder="1"/>
    </xf>
    <xf numFmtId="169" fontId="17" fillId="0" borderId="1" xfId="13" applyNumberFormat="1" applyFont="1" applyFill="1" applyBorder="1" applyAlignment="1">
      <alignment horizontal="right" vertical="center" wrapText="1" indent="1" readingOrder="1"/>
    </xf>
    <xf numFmtId="0" fontId="18" fillId="0" borderId="4" xfId="0" applyFont="1" applyBorder="1" applyAlignment="1">
      <alignment horizontal="left" vertical="center" wrapText="1" indent="1"/>
    </xf>
    <xf numFmtId="0" fontId="16" fillId="0" borderId="0" xfId="0" applyFont="1" applyAlignment="1">
      <alignment horizontal="right" vertical="center" wrapText="1" indent="1"/>
    </xf>
    <xf numFmtId="0" fontId="15" fillId="0" borderId="0" xfId="0" applyFont="1" applyAlignment="1">
      <alignment horizontal="center" vertical="center" wrapText="1" readingOrder="1"/>
    </xf>
    <xf numFmtId="169" fontId="17" fillId="16" borderId="8" xfId="13" applyNumberFormat="1" applyFont="1" applyFill="1" applyBorder="1" applyAlignment="1">
      <alignment horizontal="right" vertical="center" wrapText="1" indent="1" readingOrder="1"/>
    </xf>
    <xf numFmtId="0" fontId="18" fillId="0" borderId="26" xfId="0" applyFont="1" applyBorder="1" applyAlignment="1">
      <alignment horizontal="left" vertical="center" wrapText="1" indent="1"/>
    </xf>
    <xf numFmtId="0" fontId="15" fillId="0" borderId="27" xfId="0" applyFont="1" applyBorder="1" applyAlignment="1">
      <alignment horizontal="center" vertical="center" wrapText="1" readingOrder="1"/>
    </xf>
    <xf numFmtId="0" fontId="9" fillId="18" borderId="0" xfId="0" applyFont="1" applyFill="1" applyAlignment="1">
      <alignment horizontal="right"/>
    </xf>
    <xf numFmtId="0" fontId="17" fillId="0" borderId="26" xfId="0" applyFont="1" applyBorder="1" applyAlignment="1">
      <alignment horizontal="left" vertical="center" wrapText="1" indent="3" readingOrder="1"/>
    </xf>
    <xf numFmtId="0" fontId="12" fillId="0" borderId="0" xfId="0" applyFont="1"/>
    <xf numFmtId="0" fontId="19" fillId="0" borderId="26" xfId="0" applyFont="1" applyBorder="1" applyAlignment="1">
      <alignment horizontal="left" vertical="center" wrapText="1" indent="3" readingOrder="1"/>
    </xf>
    <xf numFmtId="169" fontId="19" fillId="0" borderId="27" xfId="13" applyNumberFormat="1" applyFont="1" applyFill="1" applyBorder="1" applyAlignment="1">
      <alignment horizontal="right" vertical="center" wrapText="1" indent="1" readingOrder="1"/>
    </xf>
    <xf numFmtId="0" fontId="12" fillId="18" borderId="0" xfId="0" applyFont="1" applyFill="1"/>
    <xf numFmtId="0" fontId="16" fillId="0" borderId="26" xfId="0" applyFont="1" applyBorder="1" applyAlignment="1">
      <alignment horizontal="left" vertical="center" wrapText="1" indent="3"/>
    </xf>
    <xf numFmtId="0" fontId="20" fillId="0" borderId="26" xfId="0" applyFont="1" applyBorder="1" applyAlignment="1">
      <alignment horizontal="left" vertical="center" wrapText="1" indent="3"/>
    </xf>
    <xf numFmtId="9" fontId="19" fillId="0" borderId="0" xfId="4" applyFont="1" applyFill="1" applyBorder="1" applyAlignment="1">
      <alignment horizontal="right" vertical="center" wrapText="1" readingOrder="1"/>
    </xf>
    <xf numFmtId="0" fontId="21" fillId="0" borderId="27" xfId="0" applyFont="1" applyBorder="1" applyAlignment="1">
      <alignment horizontal="center" vertical="center" wrapText="1" readingOrder="1"/>
    </xf>
    <xf numFmtId="0" fontId="11" fillId="0" borderId="27" xfId="0" applyFont="1" applyBorder="1"/>
    <xf numFmtId="169" fontId="11" fillId="0" borderId="0" xfId="0" applyNumberFormat="1" applyFont="1"/>
    <xf numFmtId="6" fontId="9" fillId="0" borderId="0" xfId="0" applyNumberFormat="1" applyFont="1"/>
    <xf numFmtId="0" fontId="20" fillId="0" borderId="4" xfId="0" applyFont="1" applyBorder="1" applyAlignment="1">
      <alignment horizontal="left" vertical="center" wrapText="1" indent="3"/>
    </xf>
    <xf numFmtId="9" fontId="19" fillId="0" borderId="5" xfId="4" applyFont="1" applyFill="1" applyBorder="1" applyAlignment="1">
      <alignment horizontal="right" vertical="center" wrapText="1" readingOrder="1"/>
    </xf>
    <xf numFmtId="0" fontId="9" fillId="0" borderId="1" xfId="0" applyFont="1" applyBorder="1"/>
    <xf numFmtId="169" fontId="17" fillId="0" borderId="0" xfId="13" applyNumberFormat="1" applyFont="1" applyFill="1" applyBorder="1" applyAlignment="1">
      <alignment horizontal="right" vertical="center" wrapText="1" indent="1" readingOrder="1"/>
    </xf>
    <xf numFmtId="169" fontId="17" fillId="0" borderId="5" xfId="13" applyNumberFormat="1" applyFont="1" applyFill="1" applyBorder="1" applyAlignment="1">
      <alignment horizontal="right" vertical="center" wrapText="1" indent="1" readingOrder="1"/>
    </xf>
    <xf numFmtId="0" fontId="15" fillId="0" borderId="26" xfId="0" applyFont="1" applyBorder="1" applyAlignment="1">
      <alignment horizontal="left" vertical="center" wrapText="1" indent="1" readingOrder="1"/>
    </xf>
    <xf numFmtId="169" fontId="15" fillId="0" borderId="0" xfId="13" applyNumberFormat="1" applyFont="1" applyFill="1" applyBorder="1" applyAlignment="1">
      <alignment horizontal="right" vertical="center" wrapText="1" indent="1" readingOrder="1"/>
    </xf>
    <xf numFmtId="169" fontId="15" fillId="0" borderId="27" xfId="13" applyNumberFormat="1" applyFont="1" applyFill="1" applyBorder="1" applyAlignment="1">
      <alignment horizontal="right" vertical="center" wrapText="1" indent="1" readingOrder="1"/>
    </xf>
    <xf numFmtId="9" fontId="19" fillId="0" borderId="5" xfId="0" applyNumberFormat="1" applyFont="1" applyBorder="1" applyAlignment="1">
      <alignment horizontal="right" vertical="center" wrapText="1" indent="1" readingOrder="1"/>
    </xf>
    <xf numFmtId="9" fontId="19" fillId="0" borderId="1" xfId="0" applyNumberFormat="1" applyFont="1" applyBorder="1" applyAlignment="1">
      <alignment horizontal="right" vertical="center" wrapText="1" indent="1" readingOrder="1"/>
    </xf>
    <xf numFmtId="9" fontId="19" fillId="0" borderId="0" xfId="0" applyNumberFormat="1" applyFont="1" applyAlignment="1">
      <alignment horizontal="right" vertical="center" wrapText="1" indent="1" readingOrder="1"/>
    </xf>
    <xf numFmtId="9" fontId="19" fillId="0" borderId="27" xfId="0" applyNumberFormat="1" applyFont="1" applyBorder="1" applyAlignment="1">
      <alignment horizontal="right" vertical="center" wrapText="1" indent="1" readingOrder="1"/>
    </xf>
    <xf numFmtId="172" fontId="17" fillId="0" borderId="26" xfId="0" applyNumberFormat="1" applyFont="1" applyBorder="1" applyAlignment="1">
      <alignment horizontal="left" vertical="center" wrapText="1" indent="3" readingOrder="1"/>
    </xf>
    <xf numFmtId="173" fontId="17" fillId="0" borderId="26" xfId="0" applyNumberFormat="1" applyFont="1" applyBorder="1" applyAlignment="1">
      <alignment horizontal="left" vertical="center" wrapText="1" indent="3" readingOrder="1"/>
    </xf>
    <xf numFmtId="169" fontId="14" fillId="0" borderId="0" xfId="13" applyNumberFormat="1" applyFont="1" applyFill="1" applyBorder="1" applyAlignment="1">
      <alignment horizontal="right" vertical="center" wrapText="1" indent="1" readingOrder="1"/>
    </xf>
    <xf numFmtId="174" fontId="17" fillId="0" borderId="26" xfId="0" applyNumberFormat="1" applyFont="1" applyBorder="1" applyAlignment="1">
      <alignment horizontal="left" vertical="center" wrapText="1" indent="3" readingOrder="1"/>
    </xf>
    <xf numFmtId="175" fontId="17" fillId="0" borderId="26" xfId="0" applyNumberFormat="1" applyFont="1" applyBorder="1" applyAlignment="1">
      <alignment horizontal="left" vertical="center" wrapText="1" indent="3" readingOrder="1"/>
    </xf>
    <xf numFmtId="169" fontId="17" fillId="0" borderId="2" xfId="13" applyNumberFormat="1" applyFont="1" applyFill="1" applyBorder="1" applyAlignment="1">
      <alignment horizontal="right" vertical="center" wrapText="1" indent="1" readingOrder="1"/>
    </xf>
    <xf numFmtId="169" fontId="17" fillId="0" borderId="3" xfId="13" applyNumberFormat="1" applyFont="1" applyFill="1" applyBorder="1" applyAlignment="1">
      <alignment horizontal="right" vertical="center" wrapText="1" indent="1" readingOrder="1"/>
    </xf>
    <xf numFmtId="176" fontId="17" fillId="0" borderId="26" xfId="0" applyNumberFormat="1" applyFont="1" applyBorder="1" applyAlignment="1">
      <alignment horizontal="left" vertical="center" wrapText="1" indent="1" readingOrder="1"/>
    </xf>
    <xf numFmtId="169" fontId="15" fillId="0" borderId="28" xfId="13" applyNumberFormat="1" applyFont="1" applyFill="1" applyBorder="1" applyAlignment="1">
      <alignment horizontal="right" vertical="center" wrapText="1" indent="1" readingOrder="1"/>
    </xf>
    <xf numFmtId="169" fontId="15" fillId="0" borderId="29" xfId="13" applyNumberFormat="1" applyFont="1" applyFill="1" applyBorder="1" applyAlignment="1">
      <alignment horizontal="right" vertical="center" wrapText="1" indent="1" readingOrder="1"/>
    </xf>
    <xf numFmtId="0" fontId="19" fillId="0" borderId="4" xfId="0" applyFont="1" applyBorder="1" applyAlignment="1">
      <alignment horizontal="left" vertical="center" wrapText="1" indent="1" readingOrder="1"/>
    </xf>
    <xf numFmtId="0" fontId="9" fillId="0" borderId="0" xfId="0" applyFont="1" applyAlignment="1">
      <alignment horizontal="left"/>
    </xf>
    <xf numFmtId="1" fontId="9" fillId="18" borderId="0" xfId="0" applyNumberFormat="1" applyFont="1" applyFill="1"/>
    <xf numFmtId="169" fontId="9" fillId="18" borderId="0" xfId="13" applyNumberFormat="1" applyFont="1" applyFill="1"/>
    <xf numFmtId="6" fontId="9" fillId="18" borderId="0" xfId="0" applyNumberFormat="1" applyFont="1" applyFill="1"/>
    <xf numFmtId="8" fontId="9" fillId="18" borderId="0" xfId="0" applyNumberFormat="1" applyFont="1" applyFill="1"/>
    <xf numFmtId="0" fontId="0" fillId="9" borderId="14" xfId="0" applyFill="1" applyBorder="1"/>
    <xf numFmtId="0" fontId="0" fillId="9" borderId="15" xfId="0" applyFill="1" applyBorder="1"/>
    <xf numFmtId="0" fontId="1" fillId="9" borderId="12" xfId="0" applyFont="1" applyFill="1" applyBorder="1" applyAlignment="1">
      <alignment horizontal="right"/>
    </xf>
    <xf numFmtId="0" fontId="0" fillId="9" borderId="12" xfId="0" applyFill="1" applyBorder="1" applyAlignment="1">
      <alignment horizontal="right"/>
    </xf>
    <xf numFmtId="0" fontId="0" fillId="9" borderId="12" xfId="0" applyFill="1" applyBorder="1" applyAlignment="1">
      <alignment horizontal="right" vertical="center"/>
    </xf>
    <xf numFmtId="0" fontId="1" fillId="0" borderId="30" xfId="0" applyFont="1" applyBorder="1" applyAlignment="1">
      <alignment horizontal="center" vertical="center"/>
    </xf>
    <xf numFmtId="0" fontId="1" fillId="0" borderId="31" xfId="0" applyFont="1" applyBorder="1" applyAlignment="1">
      <alignment horizontal="center" vertical="center"/>
    </xf>
    <xf numFmtId="0" fontId="1" fillId="0" borderId="32" xfId="0" applyFont="1" applyBorder="1" applyAlignment="1">
      <alignment horizontal="center" vertical="center"/>
    </xf>
    <xf numFmtId="164" fontId="0" fillId="5" borderId="17" xfId="0" applyNumberFormat="1" applyFill="1" applyBorder="1" applyAlignment="1">
      <alignment horizontal="center" vertical="center"/>
    </xf>
    <xf numFmtId="0" fontId="0" fillId="20" borderId="17" xfId="0" applyFill="1" applyBorder="1" applyAlignment="1">
      <alignment horizontal="center" vertical="center"/>
    </xf>
    <xf numFmtId="0" fontId="23" fillId="9" borderId="0" xfId="0" applyFont="1" applyFill="1"/>
    <xf numFmtId="0" fontId="24" fillId="9" borderId="0" xfId="0" applyFont="1" applyFill="1"/>
    <xf numFmtId="0" fontId="25" fillId="9" borderId="0" xfId="0" applyFont="1" applyFill="1"/>
    <xf numFmtId="0" fontId="24" fillId="9" borderId="0" xfId="0" applyFont="1" applyFill="1" applyAlignment="1">
      <alignment horizontal="left" indent="1"/>
    </xf>
    <xf numFmtId="0" fontId="24" fillId="9" borderId="0" xfId="0" applyFont="1" applyFill="1" applyAlignment="1">
      <alignment horizontal="left" indent="2"/>
    </xf>
    <xf numFmtId="0" fontId="26" fillId="9" borderId="0" xfId="0" applyFont="1" applyFill="1"/>
    <xf numFmtId="0" fontId="27" fillId="9" borderId="0" xfId="0" applyFont="1" applyFill="1"/>
    <xf numFmtId="0" fontId="28" fillId="9" borderId="0" xfId="0" applyFont="1" applyFill="1"/>
    <xf numFmtId="0" fontId="29" fillId="9" borderId="0" xfId="0" applyFont="1" applyFill="1"/>
    <xf numFmtId="0" fontId="29" fillId="9" borderId="0" xfId="0" applyFont="1" applyFill="1" applyAlignment="1">
      <alignment horizontal="left" indent="1"/>
    </xf>
    <xf numFmtId="0" fontId="27" fillId="9" borderId="0" xfId="0" applyFont="1" applyFill="1" applyAlignment="1">
      <alignment horizontal="left" indent="1"/>
    </xf>
    <xf numFmtId="0" fontId="30" fillId="9" borderId="0" xfId="0" applyFont="1" applyFill="1"/>
    <xf numFmtId="0" fontId="30" fillId="9" borderId="0" xfId="0" quotePrefix="1" applyFont="1" applyFill="1" applyAlignment="1">
      <alignment horizontal="center" vertical="center"/>
    </xf>
    <xf numFmtId="0" fontId="1" fillId="9" borderId="0" xfId="0" applyFont="1" applyFill="1"/>
    <xf numFmtId="177" fontId="0" fillId="9" borderId="0" xfId="0" applyNumberFormat="1" applyFill="1"/>
    <xf numFmtId="0" fontId="1" fillId="9" borderId="0" xfId="0" applyFont="1" applyFill="1" applyAlignment="1">
      <alignment horizontal="center" vertical="center"/>
    </xf>
    <xf numFmtId="164" fontId="0" fillId="9" borderId="0" xfId="0" applyNumberFormat="1" applyFill="1" applyAlignment="1">
      <alignment horizontal="center" vertical="center"/>
    </xf>
    <xf numFmtId="4" fontId="0" fillId="9" borderId="0" xfId="0" applyNumberFormat="1" applyFill="1" applyAlignment="1">
      <alignment horizontal="center" vertical="center"/>
    </xf>
    <xf numFmtId="6" fontId="0" fillId="9" borderId="0" xfId="0" applyNumberFormat="1" applyFill="1" applyProtection="1">
      <protection locked="0"/>
    </xf>
    <xf numFmtId="165" fontId="0" fillId="9" borderId="0" xfId="0" applyNumberFormat="1" applyFill="1" applyProtection="1">
      <protection locked="0"/>
    </xf>
    <xf numFmtId="8" fontId="1" fillId="9" borderId="0" xfId="0" applyNumberFormat="1" applyFont="1" applyFill="1"/>
    <xf numFmtId="10" fontId="0" fillId="9" borderId="0" xfId="0" applyNumberFormat="1" applyFill="1" applyProtection="1">
      <protection locked="0"/>
    </xf>
    <xf numFmtId="8" fontId="0" fillId="9" borderId="0" xfId="0" applyNumberFormat="1" applyFill="1" applyProtection="1">
      <protection locked="0"/>
    </xf>
    <xf numFmtId="6" fontId="1" fillId="9" borderId="0" xfId="0" applyNumberFormat="1" applyFont="1" applyFill="1"/>
    <xf numFmtId="1" fontId="0" fillId="9" borderId="0" xfId="0" applyNumberFormat="1" applyFill="1" applyAlignment="1">
      <alignment horizontal="center" vertical="center"/>
    </xf>
    <xf numFmtId="9" fontId="1" fillId="9" borderId="0" xfId="0" applyNumberFormat="1" applyFont="1" applyFill="1" applyAlignment="1">
      <alignment horizontal="center"/>
    </xf>
    <xf numFmtId="0" fontId="22" fillId="9" borderId="0" xfId="0" applyFont="1" applyFill="1" applyAlignment="1">
      <alignment horizontal="center" vertical="center" wrapText="1"/>
    </xf>
    <xf numFmtId="0" fontId="0" fillId="9" borderId="0" xfId="0" applyFill="1" applyAlignment="1">
      <alignment horizontal="center" vertical="center"/>
    </xf>
    <xf numFmtId="0" fontId="32" fillId="9" borderId="0" xfId="0" applyFont="1" applyFill="1"/>
    <xf numFmtId="0" fontId="27" fillId="0" borderId="0" xfId="0" applyFont="1"/>
    <xf numFmtId="0" fontId="24" fillId="9" borderId="17" xfId="0" applyFont="1" applyFill="1" applyBorder="1" applyAlignment="1">
      <alignment horizontal="center" vertical="center"/>
    </xf>
    <xf numFmtId="6" fontId="24" fillId="9" borderId="17" xfId="0" applyNumberFormat="1" applyFont="1" applyFill="1" applyBorder="1" applyAlignment="1">
      <alignment horizontal="center" vertical="center"/>
    </xf>
    <xf numFmtId="37" fontId="14" fillId="0" borderId="0" xfId="13" applyNumberFormat="1" applyFont="1" applyFill="1" applyBorder="1" applyAlignment="1">
      <alignment horizontal="right" vertical="center" wrapText="1" readingOrder="1"/>
    </xf>
    <xf numFmtId="37" fontId="17" fillId="0" borderId="5" xfId="13" applyNumberFormat="1" applyFont="1" applyFill="1" applyBorder="1" applyAlignment="1">
      <alignment horizontal="right" vertical="center" wrapText="1" readingOrder="1"/>
    </xf>
    <xf numFmtId="37" fontId="17" fillId="0" borderId="1" xfId="13" applyNumberFormat="1" applyFont="1" applyFill="1" applyBorder="1" applyAlignment="1">
      <alignment horizontal="right" vertical="center" wrapText="1" readingOrder="1"/>
    </xf>
    <xf numFmtId="37" fontId="14" fillId="0" borderId="5" xfId="13" applyNumberFormat="1" applyFont="1" applyFill="1" applyBorder="1" applyAlignment="1">
      <alignment vertical="center" wrapText="1" readingOrder="1"/>
    </xf>
    <xf numFmtId="37" fontId="17" fillId="0" borderId="1" xfId="13" applyNumberFormat="1" applyFont="1" applyFill="1" applyBorder="1" applyAlignment="1">
      <alignment vertical="center" wrapText="1" readingOrder="1"/>
    </xf>
    <xf numFmtId="37" fontId="17" fillId="0" borderId="27" xfId="13" applyNumberFormat="1" applyFont="1" applyFill="1" applyBorder="1" applyAlignment="1">
      <alignment vertical="center" wrapText="1" readingOrder="1"/>
    </xf>
    <xf numFmtId="164" fontId="17" fillId="0" borderId="0" xfId="13" applyNumberFormat="1" applyFont="1" applyFill="1" applyBorder="1" applyAlignment="1">
      <alignment horizontal="right" vertical="center" wrapText="1" readingOrder="1"/>
    </xf>
    <xf numFmtId="164" fontId="19" fillId="0" borderId="5" xfId="13" applyNumberFormat="1" applyFont="1" applyFill="1" applyBorder="1" applyAlignment="1">
      <alignment horizontal="right" vertical="center" wrapText="1" readingOrder="1"/>
    </xf>
    <xf numFmtId="164" fontId="17" fillId="0" borderId="0" xfId="13" applyNumberFormat="1" applyFont="1" applyFill="1" applyBorder="1" applyAlignment="1">
      <alignment vertical="center" wrapText="1" readingOrder="1"/>
    </xf>
    <xf numFmtId="5" fontId="14" fillId="0" borderId="0" xfId="13" applyNumberFormat="1" applyFont="1" applyFill="1" applyBorder="1" applyAlignment="1">
      <alignment horizontal="right" vertical="center" wrapText="1" readingOrder="1"/>
    </xf>
    <xf numFmtId="5" fontId="17" fillId="0" borderId="0" xfId="13" applyNumberFormat="1" applyFont="1" applyFill="1" applyBorder="1" applyAlignment="1">
      <alignment horizontal="right" vertical="center" wrapText="1" readingOrder="1"/>
    </xf>
    <xf numFmtId="5" fontId="19" fillId="0" borderId="5" xfId="13" applyNumberFormat="1" applyFont="1" applyFill="1" applyBorder="1" applyAlignment="1">
      <alignment horizontal="right" vertical="center" wrapText="1" readingOrder="1"/>
    </xf>
    <xf numFmtId="5" fontId="17" fillId="0" borderId="0" xfId="13" applyNumberFormat="1" applyFont="1" applyFill="1" applyBorder="1" applyAlignment="1">
      <alignment horizontal="right" vertical="center" wrapText="1" indent="1" readingOrder="1"/>
    </xf>
    <xf numFmtId="5" fontId="17" fillId="0" borderId="27" xfId="13" applyNumberFormat="1" applyFont="1" applyFill="1" applyBorder="1" applyAlignment="1">
      <alignment horizontal="right" vertical="center" wrapText="1" indent="1" readingOrder="1"/>
    </xf>
    <xf numFmtId="5" fontId="17" fillId="0" borderId="5" xfId="13" applyNumberFormat="1" applyFont="1" applyFill="1" applyBorder="1" applyAlignment="1">
      <alignment horizontal="right" vertical="center" wrapText="1" indent="1" readingOrder="1"/>
    </xf>
    <xf numFmtId="5" fontId="17" fillId="0" borderId="1" xfId="13" applyNumberFormat="1" applyFont="1" applyFill="1" applyBorder="1" applyAlignment="1">
      <alignment horizontal="right" vertical="center" wrapText="1" indent="1" readingOrder="1"/>
    </xf>
    <xf numFmtId="5" fontId="15" fillId="0" borderId="0" xfId="13" applyNumberFormat="1" applyFont="1" applyFill="1" applyBorder="1" applyAlignment="1">
      <alignment horizontal="right" vertical="center" wrapText="1" indent="1" readingOrder="1"/>
    </xf>
    <xf numFmtId="5" fontId="15" fillId="0" borderId="27" xfId="13" applyNumberFormat="1" applyFont="1" applyFill="1" applyBorder="1" applyAlignment="1">
      <alignment horizontal="right" vertical="center" wrapText="1" indent="1" readingOrder="1"/>
    </xf>
    <xf numFmtId="37" fontId="9" fillId="0" borderId="0" xfId="13" applyNumberFormat="1" applyFont="1" applyFill="1" applyBorder="1" applyAlignment="1">
      <alignment horizontal="right"/>
    </xf>
    <xf numFmtId="37" fontId="11" fillId="0" borderId="27" xfId="13" applyNumberFormat="1" applyFont="1" applyFill="1" applyBorder="1" applyAlignment="1">
      <alignment horizontal="right"/>
    </xf>
    <xf numFmtId="5" fontId="9" fillId="0" borderId="5" xfId="13" applyNumberFormat="1" applyFont="1" applyFill="1" applyBorder="1" applyAlignment="1">
      <alignment horizontal="right"/>
    </xf>
    <xf numFmtId="5" fontId="11" fillId="0" borderId="1" xfId="13" applyNumberFormat="1" applyFont="1" applyFill="1" applyBorder="1" applyAlignment="1">
      <alignment horizontal="right"/>
    </xf>
    <xf numFmtId="5" fontId="9" fillId="0" borderId="0" xfId="13" applyNumberFormat="1" applyFont="1" applyFill="1" applyBorder="1" applyAlignment="1">
      <alignment horizontal="right"/>
    </xf>
    <xf numFmtId="5" fontId="11" fillId="0" borderId="27" xfId="13" applyNumberFormat="1" applyFont="1" applyFill="1" applyBorder="1" applyAlignment="1">
      <alignment horizontal="right"/>
    </xf>
    <xf numFmtId="0" fontId="11" fillId="15" borderId="26" xfId="0" applyFont="1" applyFill="1" applyBorder="1"/>
    <xf numFmtId="5" fontId="11" fillId="0" borderId="0" xfId="13" applyNumberFormat="1" applyFont="1" applyFill="1" applyBorder="1" applyAlignment="1">
      <alignment horizontal="right"/>
    </xf>
    <xf numFmtId="0" fontId="1" fillId="0" borderId="0" xfId="0" applyFont="1" applyAlignment="1">
      <alignment horizontal="right"/>
    </xf>
    <xf numFmtId="164" fontId="1" fillId="5" borderId="17" xfId="0" applyNumberFormat="1" applyFont="1" applyFill="1" applyBorder="1" applyAlignment="1">
      <alignment horizontal="center" vertical="center"/>
    </xf>
    <xf numFmtId="0" fontId="0" fillId="5" borderId="17" xfId="0" applyFill="1" applyBorder="1" applyAlignment="1">
      <alignment horizontal="center"/>
    </xf>
    <xf numFmtId="3" fontId="0" fillId="5" borderId="17" xfId="0" applyNumberFormat="1" applyFill="1" applyBorder="1" applyAlignment="1">
      <alignment horizontal="center"/>
    </xf>
    <xf numFmtId="0" fontId="31" fillId="9" borderId="0" xfId="0" applyFont="1" applyFill="1"/>
    <xf numFmtId="0" fontId="34" fillId="9" borderId="0" xfId="1" applyFont="1" applyFill="1"/>
    <xf numFmtId="0" fontId="35" fillId="9" borderId="0" xfId="0" applyFont="1" applyFill="1"/>
    <xf numFmtId="0" fontId="31" fillId="0" borderId="0" xfId="0" applyFont="1"/>
    <xf numFmtId="0" fontId="36" fillId="9" borderId="0" xfId="0" applyFont="1" applyFill="1"/>
    <xf numFmtId="0" fontId="31" fillId="9" borderId="0" xfId="0" applyFont="1" applyFill="1" applyAlignment="1">
      <alignment horizontal="left"/>
    </xf>
    <xf numFmtId="0" fontId="24" fillId="0" borderId="0" xfId="0" applyFont="1"/>
    <xf numFmtId="0" fontId="32" fillId="6" borderId="9" xfId="0" applyFont="1" applyFill="1" applyBorder="1"/>
    <xf numFmtId="0" fontId="24" fillId="6" borderId="10" xfId="0" applyFont="1" applyFill="1" applyBorder="1"/>
    <xf numFmtId="0" fontId="32" fillId="6" borderId="10" xfId="0" applyFont="1" applyFill="1" applyBorder="1" applyAlignment="1">
      <alignment horizontal="center"/>
    </xf>
    <xf numFmtId="0" fontId="32" fillId="6" borderId="14" xfId="0" applyFont="1" applyFill="1" applyBorder="1"/>
    <xf numFmtId="0" fontId="24" fillId="6" borderId="15" xfId="0" applyFont="1" applyFill="1" applyBorder="1"/>
    <xf numFmtId="0" fontId="32" fillId="6" borderId="15" xfId="0" applyFont="1" applyFill="1" applyBorder="1" applyAlignment="1">
      <alignment horizontal="center"/>
    </xf>
    <xf numFmtId="0" fontId="32" fillId="7" borderId="9" xfId="0" applyFont="1" applyFill="1" applyBorder="1"/>
    <xf numFmtId="0" fontId="32" fillId="7" borderId="10" xfId="0" applyFont="1" applyFill="1" applyBorder="1"/>
    <xf numFmtId="0" fontId="24" fillId="7" borderId="10" xfId="0" applyFont="1" applyFill="1" applyBorder="1"/>
    <xf numFmtId="0" fontId="32" fillId="7" borderId="10" xfId="0" applyFont="1" applyFill="1" applyBorder="1" applyAlignment="1">
      <alignment horizontal="center"/>
    </xf>
    <xf numFmtId="0" fontId="24" fillId="7" borderId="11" xfId="0" applyFont="1" applyFill="1" applyBorder="1"/>
    <xf numFmtId="0" fontId="24" fillId="7" borderId="12" xfId="0" applyFont="1" applyFill="1" applyBorder="1"/>
    <xf numFmtId="0" fontId="24" fillId="7" borderId="0" xfId="0" applyFont="1" applyFill="1"/>
    <xf numFmtId="6" fontId="24" fillId="7" borderId="0" xfId="0" applyNumberFormat="1" applyFont="1" applyFill="1" applyAlignment="1">
      <alignment horizontal="right"/>
    </xf>
    <xf numFmtId="0" fontId="24" fillId="7" borderId="13" xfId="0" applyFont="1" applyFill="1" applyBorder="1"/>
    <xf numFmtId="0" fontId="24" fillId="7" borderId="14" xfId="0" applyFont="1" applyFill="1" applyBorder="1"/>
    <xf numFmtId="0" fontId="24" fillId="7" borderId="15" xfId="0" applyFont="1" applyFill="1" applyBorder="1"/>
    <xf numFmtId="0" fontId="39" fillId="7" borderId="15" xfId="0" applyFont="1" applyFill="1" applyBorder="1" applyAlignment="1">
      <alignment horizontal="right"/>
    </xf>
    <xf numFmtId="6" fontId="39" fillId="7" borderId="15" xfId="0" applyNumberFormat="1" applyFont="1" applyFill="1" applyBorder="1" applyAlignment="1">
      <alignment horizontal="right"/>
    </xf>
    <xf numFmtId="0" fontId="24" fillId="7" borderId="16" xfId="0" applyFont="1" applyFill="1" applyBorder="1"/>
    <xf numFmtId="0" fontId="32" fillId="8" borderId="9" xfId="0" applyFont="1" applyFill="1" applyBorder="1"/>
    <xf numFmtId="0" fontId="32" fillId="8" borderId="10" xfId="0" applyFont="1" applyFill="1" applyBorder="1"/>
    <xf numFmtId="0" fontId="24" fillId="8" borderId="10" xfId="0" applyFont="1" applyFill="1" applyBorder="1"/>
    <xf numFmtId="0" fontId="24" fillId="8" borderId="11" xfId="0" applyFont="1" applyFill="1" applyBorder="1"/>
    <xf numFmtId="0" fontId="24" fillId="8" borderId="12" xfId="0" applyFont="1" applyFill="1" applyBorder="1"/>
    <xf numFmtId="0" fontId="39" fillId="8" borderId="0" xfId="0" applyFont="1" applyFill="1"/>
    <xf numFmtId="0" fontId="24" fillId="8" borderId="0" xfId="0" applyFont="1" applyFill="1"/>
    <xf numFmtId="0" fontId="24" fillId="8" borderId="0" xfId="0" applyFont="1" applyFill="1" applyAlignment="1">
      <alignment horizontal="right"/>
    </xf>
    <xf numFmtId="0" fontId="24" fillId="8" borderId="13" xfId="0" applyFont="1" applyFill="1" applyBorder="1"/>
    <xf numFmtId="6" fontId="24" fillId="8" borderId="0" xfId="0" applyNumberFormat="1" applyFont="1" applyFill="1" applyAlignment="1">
      <alignment horizontal="right"/>
    </xf>
    <xf numFmtId="0" fontId="32" fillId="8" borderId="0" xfId="0" applyFont="1" applyFill="1" applyAlignment="1">
      <alignment horizontal="center"/>
    </xf>
    <xf numFmtId="0" fontId="32" fillId="8" borderId="13" xfId="0" applyFont="1" applyFill="1" applyBorder="1" applyAlignment="1">
      <alignment horizontal="center"/>
    </xf>
    <xf numFmtId="0" fontId="38" fillId="8" borderId="0" xfId="0" applyFont="1" applyFill="1"/>
    <xf numFmtId="0" fontId="39" fillId="8" borderId="0" xfId="0" applyFont="1" applyFill="1" applyAlignment="1">
      <alignment horizontal="right"/>
    </xf>
    <xf numFmtId="6" fontId="39" fillId="8" borderId="0" xfId="0" applyNumberFormat="1" applyFont="1" applyFill="1" applyAlignment="1">
      <alignment horizontal="right"/>
    </xf>
    <xf numFmtId="0" fontId="24" fillId="8" borderId="14" xfId="0" applyFont="1" applyFill="1" applyBorder="1"/>
    <xf numFmtId="0" fontId="24" fillId="8" borderId="15" xfId="0" applyFont="1" applyFill="1" applyBorder="1"/>
    <xf numFmtId="0" fontId="39" fillId="8" borderId="15" xfId="0" applyFont="1" applyFill="1" applyBorder="1" applyAlignment="1">
      <alignment horizontal="right"/>
    </xf>
    <xf numFmtId="6" fontId="39" fillId="8" borderId="15" xfId="0" applyNumberFormat="1" applyFont="1" applyFill="1" applyBorder="1" applyAlignment="1">
      <alignment horizontal="right"/>
    </xf>
    <xf numFmtId="0" fontId="32" fillId="7" borderId="0" xfId="0" applyFont="1" applyFill="1" applyAlignment="1">
      <alignment horizontal="center"/>
    </xf>
    <xf numFmtId="0" fontId="32" fillId="7" borderId="13" xfId="0" applyFont="1" applyFill="1" applyBorder="1" applyAlignment="1">
      <alignment horizontal="center"/>
    </xf>
    <xf numFmtId="0" fontId="32" fillId="7" borderId="15" xfId="0" applyFont="1" applyFill="1" applyBorder="1" applyAlignment="1">
      <alignment horizontal="center"/>
    </xf>
    <xf numFmtId="0" fontId="32" fillId="7" borderId="16" xfId="0" applyFont="1" applyFill="1" applyBorder="1" applyAlignment="1">
      <alignment horizontal="center"/>
    </xf>
    <xf numFmtId="0" fontId="32" fillId="8" borderId="12" xfId="0" applyFont="1" applyFill="1" applyBorder="1"/>
    <xf numFmtId="0" fontId="32" fillId="8" borderId="0" xfId="0" applyFont="1" applyFill="1"/>
    <xf numFmtId="0" fontId="32" fillId="8" borderId="15" xfId="0" applyFont="1" applyFill="1" applyBorder="1" applyAlignment="1">
      <alignment horizontal="center" vertical="center"/>
    </xf>
    <xf numFmtId="0" fontId="32" fillId="8" borderId="16" xfId="0" applyFont="1" applyFill="1" applyBorder="1" applyAlignment="1">
      <alignment horizontal="center" vertical="center"/>
    </xf>
    <xf numFmtId="8" fontId="24" fillId="7" borderId="0" xfId="0" applyNumberFormat="1" applyFont="1" applyFill="1" applyAlignment="1">
      <alignment horizontal="right"/>
    </xf>
    <xf numFmtId="0" fontId="32" fillId="8" borderId="14" xfId="0" applyFont="1" applyFill="1" applyBorder="1"/>
    <xf numFmtId="0" fontId="32" fillId="8" borderId="15" xfId="0" applyFont="1" applyFill="1" applyBorder="1"/>
    <xf numFmtId="0" fontId="24" fillId="8" borderId="16" xfId="0" applyFont="1" applyFill="1" applyBorder="1"/>
    <xf numFmtId="0" fontId="24" fillId="6" borderId="14" xfId="0" applyFont="1" applyFill="1" applyBorder="1"/>
    <xf numFmtId="0" fontId="39" fillId="6" borderId="15" xfId="0" applyFont="1" applyFill="1" applyBorder="1" applyAlignment="1">
      <alignment horizontal="right"/>
    </xf>
    <xf numFmtId="6" fontId="39" fillId="6" borderId="15" xfId="0" applyNumberFormat="1" applyFont="1" applyFill="1" applyBorder="1" applyAlignment="1">
      <alignment horizontal="right"/>
    </xf>
    <xf numFmtId="0" fontId="24" fillId="6" borderId="16" xfId="0" applyFont="1" applyFill="1" applyBorder="1"/>
    <xf numFmtId="0" fontId="32" fillId="7" borderId="12" xfId="0" applyFont="1" applyFill="1" applyBorder="1"/>
    <xf numFmtId="0" fontId="32" fillId="7" borderId="0" xfId="0" applyFont="1" applyFill="1"/>
    <xf numFmtId="0" fontId="24" fillId="7" borderId="0" xfId="0" applyFont="1" applyFill="1" applyAlignment="1">
      <alignment horizontal="left" indent="1"/>
    </xf>
    <xf numFmtId="0" fontId="24" fillId="7" borderId="12" xfId="0" applyFont="1" applyFill="1" applyBorder="1" applyAlignment="1">
      <alignment horizontal="right"/>
    </xf>
    <xf numFmtId="6" fontId="24" fillId="7" borderId="0" xfId="0" applyNumberFormat="1" applyFont="1" applyFill="1" applyAlignment="1">
      <alignment horizontal="right" vertical="center"/>
    </xf>
    <xf numFmtId="0" fontId="32" fillId="8" borderId="10" xfId="0" applyFont="1" applyFill="1" applyBorder="1" applyAlignment="1">
      <alignment horizontal="right"/>
    </xf>
    <xf numFmtId="6" fontId="39" fillId="7" borderId="15" xfId="0" applyNumberFormat="1" applyFont="1" applyFill="1" applyBorder="1"/>
    <xf numFmtId="0" fontId="32" fillId="8" borderId="0" xfId="0" applyFont="1" applyFill="1" applyAlignment="1">
      <alignment horizontal="center" vertical="center"/>
    </xf>
    <xf numFmtId="0" fontId="32" fillId="8" borderId="13" xfId="0" applyFont="1" applyFill="1" applyBorder="1" applyAlignment="1">
      <alignment horizontal="center" vertical="center"/>
    </xf>
    <xf numFmtId="6" fontId="39" fillId="8" borderId="15" xfId="0" applyNumberFormat="1" applyFont="1" applyFill="1" applyBorder="1"/>
    <xf numFmtId="0" fontId="32" fillId="7" borderId="18" xfId="0" applyFont="1" applyFill="1" applyBorder="1"/>
    <xf numFmtId="0" fontId="32" fillId="7" borderId="19" xfId="0" applyFont="1" applyFill="1" applyBorder="1"/>
    <xf numFmtId="0" fontId="24" fillId="7" borderId="19" xfId="0" applyFont="1" applyFill="1" applyBorder="1"/>
    <xf numFmtId="0" fontId="24" fillId="7" borderId="20" xfId="0" applyFont="1" applyFill="1" applyBorder="1"/>
    <xf numFmtId="0" fontId="24" fillId="8" borderId="15" xfId="0" applyFont="1" applyFill="1" applyBorder="1" applyAlignment="1">
      <alignment vertical="top"/>
    </xf>
    <xf numFmtId="6" fontId="39" fillId="6" borderId="15" xfId="0" applyNumberFormat="1" applyFont="1" applyFill="1" applyBorder="1"/>
    <xf numFmtId="6" fontId="24" fillId="8" borderId="10" xfId="0" applyNumberFormat="1" applyFont="1" applyFill="1" applyBorder="1" applyAlignment="1">
      <alignment horizontal="right"/>
    </xf>
    <xf numFmtId="0" fontId="32" fillId="7" borderId="14" xfId="0" applyFont="1" applyFill="1" applyBorder="1"/>
    <xf numFmtId="0" fontId="32" fillId="7" borderId="15" xfId="0" applyFont="1" applyFill="1" applyBorder="1"/>
    <xf numFmtId="6" fontId="24" fillId="7" borderId="15" xfId="0" applyNumberFormat="1" applyFont="1" applyFill="1" applyBorder="1" applyAlignment="1">
      <alignment horizontal="right"/>
    </xf>
    <xf numFmtId="0" fontId="32" fillId="8" borderId="18" xfId="0" applyFont="1" applyFill="1" applyBorder="1"/>
    <xf numFmtId="0" fontId="32" fillId="8" borderId="19" xfId="0" applyFont="1" applyFill="1" applyBorder="1"/>
    <xf numFmtId="0" fontId="24" fillId="8" borderId="19" xfId="0" applyFont="1" applyFill="1" applyBorder="1"/>
    <xf numFmtId="0" fontId="24" fillId="8" borderId="20" xfId="0" applyFont="1" applyFill="1" applyBorder="1"/>
    <xf numFmtId="0" fontId="32" fillId="7" borderId="0" xfId="0" applyFont="1" applyFill="1" applyAlignment="1">
      <alignment horizontal="center" vertical="center"/>
    </xf>
    <xf numFmtId="9" fontId="0" fillId="2" borderId="17" xfId="0" applyNumberFormat="1" applyFill="1" applyBorder="1" applyAlignment="1" applyProtection="1">
      <alignment horizontal="center" vertical="center"/>
      <protection locked="0"/>
    </xf>
    <xf numFmtId="0" fontId="32" fillId="9" borderId="17" xfId="0" applyFont="1" applyFill="1" applyBorder="1" applyAlignment="1">
      <alignment horizontal="center" vertical="center"/>
    </xf>
    <xf numFmtId="0" fontId="32" fillId="9" borderId="17" xfId="0" applyFont="1" applyFill="1" applyBorder="1" applyAlignment="1">
      <alignment horizontal="center"/>
    </xf>
    <xf numFmtId="0" fontId="32" fillId="8" borderId="17" xfId="0" applyFont="1" applyFill="1" applyBorder="1" applyAlignment="1">
      <alignment horizontal="center"/>
    </xf>
    <xf numFmtId="0" fontId="32" fillId="21" borderId="17" xfId="0" applyFont="1" applyFill="1" applyBorder="1" applyAlignment="1">
      <alignment horizontal="center"/>
    </xf>
    <xf numFmtId="0" fontId="32" fillId="9" borderId="0" xfId="0" applyFont="1" applyFill="1" applyAlignment="1">
      <alignment horizontal="center"/>
    </xf>
    <xf numFmtId="164" fontId="24" fillId="9" borderId="0" xfId="0" applyNumberFormat="1" applyFont="1" applyFill="1" applyAlignment="1">
      <alignment horizontal="center"/>
    </xf>
    <xf numFmtId="164" fontId="32" fillId="8" borderId="17" xfId="0" applyNumberFormat="1" applyFont="1" applyFill="1" applyBorder="1" applyAlignment="1">
      <alignment horizontal="center"/>
    </xf>
    <xf numFmtId="164" fontId="32" fillId="21" borderId="17" xfId="0" applyNumberFormat="1" applyFont="1" applyFill="1" applyBorder="1" applyAlignment="1">
      <alignment horizontal="center"/>
    </xf>
    <xf numFmtId="164" fontId="32" fillId="9" borderId="0" xfId="0" applyNumberFormat="1" applyFont="1" applyFill="1" applyAlignment="1">
      <alignment horizontal="center"/>
    </xf>
    <xf numFmtId="0" fontId="32" fillId="0" borderId="17" xfId="0" applyFont="1" applyBorder="1" applyAlignment="1">
      <alignment horizontal="center" vertical="center"/>
    </xf>
    <xf numFmtId="0" fontId="32" fillId="0" borderId="17" xfId="0" applyFont="1" applyBorder="1" applyAlignment="1">
      <alignment horizontal="center" vertical="center" wrapText="1"/>
    </xf>
    <xf numFmtId="0" fontId="24" fillId="5" borderId="17" xfId="0" applyFont="1" applyFill="1" applyBorder="1"/>
    <xf numFmtId="0" fontId="24" fillId="5" borderId="17" xfId="0" applyFont="1" applyFill="1" applyBorder="1" applyAlignment="1">
      <alignment horizontal="right"/>
    </xf>
    <xf numFmtId="0" fontId="24" fillId="5" borderId="21" xfId="0" applyFont="1" applyFill="1" applyBorder="1" applyAlignment="1">
      <alignment horizontal="center" vertical="center" wrapText="1"/>
    </xf>
    <xf numFmtId="0" fontId="24" fillId="5" borderId="2" xfId="0" applyFont="1" applyFill="1" applyBorder="1" applyAlignment="1">
      <alignment horizontal="center" vertical="center" wrapText="1"/>
    </xf>
    <xf numFmtId="0" fontId="24" fillId="5" borderId="3" xfId="0" applyFont="1" applyFill="1" applyBorder="1" applyAlignment="1">
      <alignment horizontal="center" vertical="center" wrapText="1"/>
    </xf>
    <xf numFmtId="3" fontId="24" fillId="5" borderId="17" xfId="0" applyNumberFormat="1" applyFont="1" applyFill="1" applyBorder="1"/>
    <xf numFmtId="3" fontId="24" fillId="5" borderId="17" xfId="0" applyNumberFormat="1" applyFont="1" applyFill="1" applyBorder="1" applyAlignment="1">
      <alignment horizontal="center" vertical="center"/>
    </xf>
    <xf numFmtId="0" fontId="24" fillId="2" borderId="17" xfId="0" applyFont="1" applyFill="1" applyBorder="1" applyAlignment="1">
      <alignment horizontal="center" vertical="center"/>
    </xf>
    <xf numFmtId="164" fontId="24" fillId="2" borderId="17" xfId="0" applyNumberFormat="1" applyFont="1" applyFill="1" applyBorder="1" applyAlignment="1">
      <alignment vertical="center"/>
    </xf>
    <xf numFmtId="8" fontId="24" fillId="2" borderId="17" xfId="0" applyNumberFormat="1" applyFont="1" applyFill="1" applyBorder="1" applyAlignment="1">
      <alignment horizontal="right"/>
    </xf>
    <xf numFmtId="0" fontId="24" fillId="2" borderId="17" xfId="0" applyFont="1" applyFill="1" applyBorder="1" applyAlignment="1">
      <alignment vertical="center"/>
    </xf>
    <xf numFmtId="164" fontId="24" fillId="2" borderId="21" xfId="0" applyNumberFormat="1" applyFont="1" applyFill="1" applyBorder="1" applyAlignment="1">
      <alignment horizontal="center" vertical="center" wrapText="1"/>
    </xf>
    <xf numFmtId="164" fontId="24" fillId="2" borderId="2" xfId="0" applyNumberFormat="1" applyFont="1" applyFill="1" applyBorder="1" applyAlignment="1">
      <alignment horizontal="center" vertical="center" wrapText="1"/>
    </xf>
    <xf numFmtId="164" fontId="24" fillId="2" borderId="3" xfId="0" applyNumberFormat="1" applyFont="1" applyFill="1" applyBorder="1" applyAlignment="1">
      <alignment horizontal="center" vertical="center" wrapText="1"/>
    </xf>
    <xf numFmtId="3" fontId="24" fillId="2" borderId="17" xfId="0" applyNumberFormat="1" applyFont="1" applyFill="1" applyBorder="1" applyAlignment="1">
      <alignment horizontal="center" vertical="center"/>
    </xf>
    <xf numFmtId="0" fontId="24" fillId="5" borderId="17" xfId="0" applyFont="1" applyFill="1" applyBorder="1" applyAlignment="1">
      <alignment horizontal="center" vertical="center"/>
    </xf>
    <xf numFmtId="164" fontId="24" fillId="5" borderId="17" xfId="0" applyNumberFormat="1" applyFont="1" applyFill="1" applyBorder="1" applyAlignment="1">
      <alignment vertical="center"/>
    </xf>
    <xf numFmtId="0" fontId="24" fillId="5" borderId="17" xfId="0" applyFont="1" applyFill="1" applyBorder="1" applyAlignment="1">
      <alignment vertical="center"/>
    </xf>
    <xf numFmtId="164" fontId="24" fillId="2" borderId="17" xfId="0" applyNumberFormat="1" applyFont="1" applyFill="1" applyBorder="1" applyAlignment="1">
      <alignment horizontal="right"/>
    </xf>
    <xf numFmtId="164" fontId="24" fillId="5" borderId="17" xfId="0" applyNumberFormat="1" applyFont="1" applyFill="1" applyBorder="1" applyAlignment="1">
      <alignment horizontal="right"/>
    </xf>
    <xf numFmtId="164" fontId="24" fillId="2" borderId="17" xfId="0" applyNumberFormat="1" applyFont="1" applyFill="1" applyBorder="1" applyAlignment="1">
      <alignment horizontal="right" vertical="center"/>
    </xf>
    <xf numFmtId="0" fontId="24" fillId="0" borderId="17" xfId="0" applyFont="1" applyBorder="1"/>
    <xf numFmtId="8" fontId="24" fillId="0" borderId="17" xfId="0" applyNumberFormat="1" applyFont="1" applyBorder="1"/>
    <xf numFmtId="0" fontId="39" fillId="0" borderId="17" xfId="0" applyFont="1" applyBorder="1" applyAlignment="1">
      <alignment horizontal="right"/>
    </xf>
    <xf numFmtId="164" fontId="32" fillId="0" borderId="17" xfId="0" applyNumberFormat="1" applyFont="1" applyBorder="1"/>
    <xf numFmtId="8" fontId="24" fillId="0" borderId="21" xfId="0" applyNumberFormat="1" applyFont="1" applyBorder="1" applyAlignment="1">
      <alignment horizontal="center" vertical="center" wrapText="1"/>
    </xf>
    <xf numFmtId="8" fontId="24" fillId="0" borderId="2" xfId="0" applyNumberFormat="1" applyFont="1" applyBorder="1" applyAlignment="1">
      <alignment horizontal="center" vertical="center" wrapText="1"/>
    </xf>
    <xf numFmtId="8" fontId="24" fillId="0" borderId="3" xfId="0" applyNumberFormat="1" applyFont="1" applyBorder="1" applyAlignment="1">
      <alignment horizontal="center" vertical="center" wrapText="1"/>
    </xf>
    <xf numFmtId="0" fontId="24" fillId="9" borderId="17" xfId="0" applyFont="1" applyFill="1" applyBorder="1"/>
    <xf numFmtId="3" fontId="24" fillId="9" borderId="17" xfId="0" applyNumberFormat="1" applyFont="1" applyFill="1" applyBorder="1" applyAlignment="1">
      <alignment horizontal="center"/>
    </xf>
    <xf numFmtId="164" fontId="32" fillId="9" borderId="17" xfId="0" applyNumberFormat="1" applyFont="1" applyFill="1" applyBorder="1"/>
    <xf numFmtId="164" fontId="24" fillId="9" borderId="0" xfId="0" applyNumberFormat="1" applyFont="1" applyFill="1"/>
    <xf numFmtId="1" fontId="32" fillId="10" borderId="17" xfId="0" applyNumberFormat="1" applyFont="1" applyFill="1" applyBorder="1" applyAlignment="1">
      <alignment horizontal="center" vertical="center"/>
    </xf>
    <xf numFmtId="0" fontId="24" fillId="9" borderId="0" xfId="0" applyFont="1" applyFill="1" applyAlignment="1">
      <alignment horizontal="right"/>
    </xf>
    <xf numFmtId="0" fontId="32" fillId="9" borderId="0" xfId="0" applyFont="1" applyFill="1" applyAlignment="1">
      <alignment horizontal="right"/>
    </xf>
    <xf numFmtId="0" fontId="44" fillId="9" borderId="12" xfId="1" applyFont="1" applyFill="1" applyBorder="1"/>
    <xf numFmtId="0" fontId="44" fillId="9" borderId="0" xfId="1" applyFont="1" applyFill="1" applyBorder="1" applyProtection="1">
      <protection locked="0"/>
    </xf>
    <xf numFmtId="0" fontId="44" fillId="9" borderId="0" xfId="1" applyFont="1" applyFill="1" applyBorder="1"/>
    <xf numFmtId="0" fontId="44" fillId="9" borderId="0" xfId="1" applyFont="1" applyFill="1"/>
    <xf numFmtId="9" fontId="53" fillId="17" borderId="0" xfId="15" applyFont="1" applyFill="1" applyBorder="1" applyAlignment="1" applyProtection="1">
      <alignment horizontal="center" vertical="center"/>
    </xf>
    <xf numFmtId="0" fontId="7" fillId="0" borderId="0" xfId="14"/>
    <xf numFmtId="0" fontId="71" fillId="28" borderId="42" xfId="14" applyFont="1" applyFill="1" applyBorder="1" applyAlignment="1">
      <alignment horizontal="left" vertical="center"/>
    </xf>
    <xf numFmtId="0" fontId="51" fillId="17" borderId="0" xfId="14" applyFont="1" applyFill="1"/>
    <xf numFmtId="0" fontId="72" fillId="17" borderId="0" xfId="14" applyFont="1" applyFill="1" applyAlignment="1">
      <alignment wrapText="1"/>
    </xf>
    <xf numFmtId="0" fontId="73" fillId="17" borderId="0" xfId="14" applyFont="1" applyFill="1"/>
    <xf numFmtId="0" fontId="73" fillId="17" borderId="0" xfId="14" applyFont="1" applyFill="1" applyAlignment="1">
      <alignment horizontal="left" vertical="center"/>
    </xf>
    <xf numFmtId="0" fontId="53" fillId="0" borderId="0" xfId="14" applyFont="1"/>
    <xf numFmtId="0" fontId="7" fillId="0" borderId="0" xfId="14" applyAlignment="1">
      <alignment horizontal="left" vertical="center"/>
    </xf>
    <xf numFmtId="0" fontId="50" fillId="26" borderId="0" xfId="14" applyFont="1" applyFill="1" applyAlignment="1">
      <alignment horizontal="center" vertical="center"/>
    </xf>
    <xf numFmtId="14" fontId="7" fillId="0" borderId="43" xfId="14" applyNumberFormat="1" applyBorder="1"/>
    <xf numFmtId="0" fontId="7" fillId="0" borderId="43" xfId="14" applyBorder="1" applyAlignment="1">
      <alignment horizontal="left" indent="1"/>
    </xf>
    <xf numFmtId="0" fontId="7" fillId="0" borderId="43" xfId="14" applyBorder="1" applyAlignment="1">
      <alignment horizontal="left" vertical="center"/>
    </xf>
    <xf numFmtId="14" fontId="7" fillId="29" borderId="43" xfId="14" applyNumberFormat="1" applyFill="1" applyBorder="1"/>
    <xf numFmtId="0" fontId="74" fillId="29" borderId="43" xfId="14" applyFont="1" applyFill="1" applyBorder="1" applyAlignment="1">
      <alignment horizontal="left" indent="1"/>
    </xf>
    <xf numFmtId="0" fontId="7" fillId="29" borderId="43" xfId="14" applyFill="1" applyBorder="1" applyAlignment="1">
      <alignment horizontal="left" vertical="center"/>
    </xf>
    <xf numFmtId="0" fontId="51" fillId="9" borderId="46" xfId="14" applyFont="1" applyFill="1" applyBorder="1" applyAlignment="1" applyProtection="1">
      <alignment horizontal="center" vertical="center" shrinkToFit="1"/>
      <protection locked="0"/>
    </xf>
    <xf numFmtId="0" fontId="51" fillId="9" borderId="44" xfId="14" applyFont="1" applyFill="1" applyBorder="1" applyAlignment="1" applyProtection="1">
      <alignment horizontal="center" vertical="center" shrinkToFit="1"/>
      <protection locked="0"/>
    </xf>
    <xf numFmtId="0" fontId="51" fillId="9" borderId="44" xfId="14" applyFont="1" applyFill="1" applyBorder="1" applyAlignment="1" applyProtection="1">
      <alignment horizontal="center" vertical="center"/>
      <protection locked="0"/>
    </xf>
    <xf numFmtId="0" fontId="46" fillId="22" borderId="0" xfId="14" applyFont="1" applyFill="1" applyAlignment="1">
      <alignment horizontal="left" vertical="center" indent="1"/>
    </xf>
    <xf numFmtId="0" fontId="47" fillId="22" borderId="0" xfId="14" applyFont="1" applyFill="1" applyAlignment="1">
      <alignment vertical="center"/>
    </xf>
    <xf numFmtId="0" fontId="48" fillId="22" borderId="0" xfId="14" applyFont="1" applyFill="1" applyAlignment="1">
      <alignment vertical="center"/>
    </xf>
    <xf numFmtId="0" fontId="49" fillId="22" borderId="0" xfId="14" applyFont="1" applyFill="1" applyAlignment="1">
      <alignment vertical="center"/>
    </xf>
    <xf numFmtId="0" fontId="50" fillId="22" borderId="0" xfId="14" applyFont="1" applyFill="1"/>
    <xf numFmtId="0" fontId="7" fillId="13" borderId="0" xfId="14" applyFill="1" applyAlignment="1">
      <alignment vertical="center"/>
    </xf>
    <xf numFmtId="0" fontId="51" fillId="13" borderId="0" xfId="14" applyFont="1" applyFill="1" applyAlignment="1">
      <alignment vertical="center"/>
    </xf>
    <xf numFmtId="0" fontId="64" fillId="13" borderId="0" xfId="14" applyFont="1" applyFill="1" applyAlignment="1">
      <alignment vertical="center"/>
    </xf>
    <xf numFmtId="0" fontId="52" fillId="13" borderId="0" xfId="14" applyFont="1" applyFill="1" applyAlignment="1">
      <alignment horizontal="right" vertical="center"/>
    </xf>
    <xf numFmtId="0" fontId="52" fillId="13" borderId="0" xfId="14" applyFont="1" applyFill="1" applyAlignment="1">
      <alignment vertical="center"/>
    </xf>
    <xf numFmtId="0" fontId="53" fillId="17" borderId="0" xfId="14" applyFont="1" applyFill="1" applyAlignment="1">
      <alignment vertical="center"/>
    </xf>
    <xf numFmtId="0" fontId="54" fillId="17" borderId="0" xfId="14" applyFont="1" applyFill="1" applyAlignment="1">
      <alignment vertical="center"/>
    </xf>
    <xf numFmtId="0" fontId="55" fillId="17" borderId="0" xfId="14" applyFont="1" applyFill="1" applyAlignment="1">
      <alignment horizontal="center" vertical="center"/>
    </xf>
    <xf numFmtId="0" fontId="7" fillId="17" borderId="0" xfId="14" applyFill="1" applyAlignment="1">
      <alignment vertical="center"/>
    </xf>
    <xf numFmtId="0" fontId="51" fillId="17" borderId="0" xfId="14" applyFont="1" applyFill="1" applyAlignment="1">
      <alignment horizontal="right" vertical="center"/>
    </xf>
    <xf numFmtId="0" fontId="51" fillId="0" borderId="33" xfId="14" applyFont="1" applyBorder="1" applyAlignment="1">
      <alignment horizontal="center" vertical="center" shrinkToFit="1"/>
    </xf>
    <xf numFmtId="0" fontId="7" fillId="17" borderId="0" xfId="14" applyFill="1"/>
    <xf numFmtId="0" fontId="54" fillId="17" borderId="47" xfId="14" applyFont="1" applyFill="1" applyBorder="1" applyAlignment="1">
      <alignment vertical="center"/>
    </xf>
    <xf numFmtId="0" fontId="56" fillId="17" borderId="0" xfId="14" applyFont="1" applyFill="1" applyAlignment="1">
      <alignment horizontal="right" vertical="center"/>
    </xf>
    <xf numFmtId="14" fontId="55" fillId="17" borderId="0" xfId="14" applyNumberFormat="1" applyFont="1" applyFill="1" applyAlignment="1">
      <alignment horizontal="center" vertical="center"/>
    </xf>
    <xf numFmtId="0" fontId="54" fillId="17" borderId="45" xfId="14" applyFont="1" applyFill="1" applyBorder="1" applyAlignment="1">
      <alignment vertical="center"/>
    </xf>
    <xf numFmtId="0" fontId="54" fillId="17" borderId="48" xfId="14" applyFont="1" applyFill="1" applyBorder="1" applyAlignment="1">
      <alignment vertical="center"/>
    </xf>
    <xf numFmtId="178" fontId="51" fillId="17" borderId="0" xfId="14" applyNumberFormat="1" applyFont="1" applyFill="1" applyAlignment="1">
      <alignment horizontal="left" vertical="center" shrinkToFit="1"/>
    </xf>
    <xf numFmtId="0" fontId="57" fillId="23" borderId="33" xfId="14" quotePrefix="1" applyFont="1" applyFill="1" applyBorder="1" applyAlignment="1">
      <alignment horizontal="center" vertical="center"/>
    </xf>
    <xf numFmtId="0" fontId="59" fillId="17" borderId="0" xfId="14" applyFont="1" applyFill="1" applyAlignment="1">
      <alignment vertical="center"/>
    </xf>
    <xf numFmtId="0" fontId="51" fillId="17" borderId="0" xfId="14" applyFont="1" applyFill="1" applyAlignment="1">
      <alignment horizontal="right" vertical="center" shrinkToFit="1"/>
    </xf>
    <xf numFmtId="0" fontId="62" fillId="26" borderId="0" xfId="14" applyFont="1" applyFill="1" applyAlignment="1">
      <alignment horizontal="center" vertical="center" wrapText="1"/>
    </xf>
    <xf numFmtId="167" fontId="61" fillId="26" borderId="37" xfId="14" applyNumberFormat="1" applyFont="1" applyFill="1" applyBorder="1" applyAlignment="1">
      <alignment horizontal="center" vertical="center" shrinkToFit="1"/>
    </xf>
    <xf numFmtId="0" fontId="50" fillId="26" borderId="0" xfId="14" applyFont="1" applyFill="1" applyAlignment="1">
      <alignment vertical="center" shrinkToFit="1"/>
    </xf>
    <xf numFmtId="0" fontId="50" fillId="26" borderId="0" xfId="14" applyFont="1" applyFill="1" applyAlignment="1">
      <alignment vertical="center"/>
    </xf>
    <xf numFmtId="0" fontId="61" fillId="26" borderId="37" xfId="14" applyFont="1" applyFill="1" applyBorder="1" applyAlignment="1">
      <alignment horizontal="center" vertical="center" shrinkToFit="1"/>
    </xf>
    <xf numFmtId="0" fontId="61" fillId="26" borderId="0" xfId="14" applyFont="1" applyFill="1" applyAlignment="1">
      <alignment vertical="center"/>
    </xf>
    <xf numFmtId="0" fontId="53" fillId="0" borderId="38" xfId="14" applyFont="1" applyBorder="1" applyAlignment="1">
      <alignment horizontal="left" vertical="center"/>
    </xf>
    <xf numFmtId="0" fontId="63" fillId="15" borderId="38" xfId="14" applyFont="1" applyFill="1" applyBorder="1" applyAlignment="1">
      <alignment horizontal="left" vertical="center"/>
    </xf>
    <xf numFmtId="0" fontId="64" fillId="0" borderId="38" xfId="14" applyFont="1" applyBorder="1" applyAlignment="1">
      <alignment vertical="center"/>
    </xf>
    <xf numFmtId="0" fontId="53" fillId="0" borderId="38" xfId="14" applyFont="1" applyBorder="1" applyAlignment="1">
      <alignment vertical="center"/>
    </xf>
    <xf numFmtId="0" fontId="53" fillId="0" borderId="38" xfId="14" applyFont="1" applyBorder="1" applyAlignment="1">
      <alignment horizontal="right" vertical="center"/>
    </xf>
    <xf numFmtId="0" fontId="53" fillId="0" borderId="39" xfId="14" applyFont="1" applyBorder="1" applyAlignment="1">
      <alignment horizontal="center" vertical="center" shrinkToFit="1"/>
    </xf>
    <xf numFmtId="0" fontId="53" fillId="0" borderId="38" xfId="14" applyFont="1" applyBorder="1" applyAlignment="1">
      <alignment horizontal="center" vertical="center" shrinkToFit="1"/>
    </xf>
    <xf numFmtId="1" fontId="53" fillId="0" borderId="39" xfId="14" applyNumberFormat="1" applyFont="1" applyBorder="1" applyAlignment="1">
      <alignment horizontal="center" vertical="center"/>
    </xf>
    <xf numFmtId="1" fontId="53" fillId="0" borderId="38" xfId="15" applyNumberFormat="1" applyFont="1" applyFill="1" applyBorder="1" applyAlignment="1" applyProtection="1">
      <alignment horizontal="center" vertical="center"/>
    </xf>
    <xf numFmtId="0" fontId="53" fillId="0" borderId="41" xfId="15" applyNumberFormat="1" applyFont="1" applyFill="1" applyBorder="1" applyAlignment="1" applyProtection="1">
      <alignment horizontal="center" vertical="center"/>
    </xf>
    <xf numFmtId="9" fontId="53" fillId="0" borderId="38" xfId="15" applyFont="1" applyFill="1" applyBorder="1" applyAlignment="1" applyProtection="1">
      <alignment horizontal="center" vertical="center"/>
    </xf>
    <xf numFmtId="0" fontId="65" fillId="0" borderId="38" xfId="15" applyNumberFormat="1" applyFont="1" applyFill="1" applyBorder="1" applyAlignment="1" applyProtection="1">
      <alignment horizontal="center" vertical="center"/>
    </xf>
    <xf numFmtId="180" fontId="66" fillId="15" borderId="38" xfId="14" applyNumberFormat="1" applyFont="1" applyFill="1" applyBorder="1" applyAlignment="1">
      <alignment horizontal="right" vertical="center" shrinkToFit="1"/>
    </xf>
    <xf numFmtId="1" fontId="66" fillId="15" borderId="38" xfId="14" applyNumberFormat="1" applyFont="1" applyFill="1" applyBorder="1" applyAlignment="1">
      <alignment horizontal="center" vertical="center"/>
    </xf>
    <xf numFmtId="14" fontId="66" fillId="0" borderId="38" xfId="14" applyNumberFormat="1" applyFont="1" applyBorder="1" applyAlignment="1">
      <alignment horizontal="right" vertical="center" shrinkToFit="1"/>
    </xf>
    <xf numFmtId="1" fontId="67" fillId="0" borderId="38" xfId="14" applyNumberFormat="1" applyFont="1" applyBorder="1" applyAlignment="1">
      <alignment horizontal="center" vertical="center"/>
    </xf>
    <xf numFmtId="0" fontId="68" fillId="0" borderId="38" xfId="14" applyFont="1" applyBorder="1" applyAlignment="1">
      <alignment horizontal="center" vertical="center"/>
    </xf>
    <xf numFmtId="0" fontId="7" fillId="0" borderId="38" xfId="14" applyBorder="1" applyAlignment="1">
      <alignment horizontal="center" vertical="center"/>
    </xf>
    <xf numFmtId="0" fontId="58" fillId="0" borderId="38" xfId="14" applyFont="1" applyBorder="1" applyAlignment="1">
      <alignment vertical="center"/>
    </xf>
    <xf numFmtId="0" fontId="66" fillId="0" borderId="39" xfId="14" applyFont="1" applyBorder="1" applyAlignment="1">
      <alignment horizontal="center" vertical="center" shrinkToFit="1"/>
    </xf>
    <xf numFmtId="0" fontId="66" fillId="0" borderId="38" xfId="14" applyFont="1" applyBorder="1" applyAlignment="1">
      <alignment horizontal="center" vertical="center" shrinkToFit="1"/>
    </xf>
    <xf numFmtId="14" fontId="66" fillId="0" borderId="40" xfId="14" applyNumberFormat="1" applyFont="1" applyBorder="1" applyAlignment="1">
      <alignment horizontal="right" vertical="center" shrinkToFit="1"/>
    </xf>
    <xf numFmtId="1" fontId="66" fillId="0" borderId="39" xfId="14" applyNumberFormat="1" applyFont="1" applyBorder="1" applyAlignment="1">
      <alignment horizontal="center" vertical="center"/>
    </xf>
    <xf numFmtId="1" fontId="66" fillId="0" borderId="38" xfId="14" applyNumberFormat="1" applyFont="1" applyBorder="1" applyAlignment="1">
      <alignment horizontal="center" vertical="center"/>
    </xf>
    <xf numFmtId="0" fontId="53" fillId="0" borderId="41" xfId="14" applyFont="1" applyBorder="1" applyAlignment="1">
      <alignment horizontal="center" vertical="center"/>
    </xf>
    <xf numFmtId="9" fontId="66" fillId="0" borderId="38" xfId="15" applyFont="1" applyFill="1" applyBorder="1" applyAlignment="1" applyProtection="1">
      <alignment horizontal="center" vertical="center"/>
    </xf>
    <xf numFmtId="0" fontId="69" fillId="27" borderId="38" xfId="14" applyFont="1" applyFill="1" applyBorder="1" applyAlignment="1">
      <alignment vertical="center"/>
    </xf>
    <xf numFmtId="0" fontId="70" fillId="27" borderId="38" xfId="14" applyFont="1" applyFill="1" applyBorder="1" applyAlignment="1">
      <alignment vertical="center"/>
    </xf>
    <xf numFmtId="0" fontId="69" fillId="27" borderId="38" xfId="14" applyFont="1" applyFill="1" applyBorder="1" applyAlignment="1">
      <alignment horizontal="left" vertical="center"/>
    </xf>
    <xf numFmtId="0" fontId="66" fillId="27" borderId="38" xfId="14" applyFont="1" applyFill="1" applyBorder="1" applyAlignment="1">
      <alignment vertical="center"/>
    </xf>
    <xf numFmtId="0" fontId="66" fillId="27" borderId="38" xfId="14" applyFont="1" applyFill="1" applyBorder="1" applyAlignment="1">
      <alignment horizontal="right" vertical="center"/>
    </xf>
    <xf numFmtId="0" fontId="66" fillId="27" borderId="39" xfId="14" applyFont="1" applyFill="1" applyBorder="1" applyAlignment="1">
      <alignment vertical="center"/>
    </xf>
    <xf numFmtId="14" fontId="66" fillId="27" borderId="40" xfId="14" applyNumberFormat="1" applyFont="1" applyFill="1" applyBorder="1" applyAlignment="1">
      <alignment vertical="center"/>
    </xf>
    <xf numFmtId="0" fontId="53" fillId="15" borderId="41" xfId="14" applyFont="1" applyFill="1" applyBorder="1" applyAlignment="1">
      <alignment horizontal="center" vertical="center"/>
    </xf>
    <xf numFmtId="0" fontId="53" fillId="15" borderId="38" xfId="14" applyFont="1" applyFill="1" applyBorder="1" applyAlignment="1">
      <alignment vertical="center"/>
    </xf>
    <xf numFmtId="0" fontId="65" fillId="15" borderId="38" xfId="14" applyFont="1" applyFill="1" applyBorder="1" applyAlignment="1">
      <alignment vertical="center"/>
    </xf>
    <xf numFmtId="14" fontId="53" fillId="15" borderId="38" xfId="14" applyNumberFormat="1" applyFont="1" applyFill="1" applyBorder="1" applyAlignment="1">
      <alignment vertical="center"/>
    </xf>
    <xf numFmtId="0" fontId="68" fillId="15" borderId="38" xfId="14" applyFont="1" applyFill="1" applyBorder="1" applyAlignment="1">
      <alignment horizontal="center" vertical="center"/>
    </xf>
    <xf numFmtId="0" fontId="7" fillId="15" borderId="38" xfId="14" applyFill="1" applyBorder="1" applyAlignment="1">
      <alignment horizontal="center" vertical="center"/>
    </xf>
    <xf numFmtId="0" fontId="71" fillId="28" borderId="42" xfId="16" applyFont="1" applyFill="1" applyBorder="1" applyAlignment="1">
      <alignment horizontal="left" vertical="center"/>
    </xf>
    <xf numFmtId="0" fontId="7" fillId="0" borderId="0" xfId="16" applyFont="1"/>
    <xf numFmtId="0" fontId="72" fillId="2" borderId="0" xfId="16" applyFont="1" applyFill="1" applyAlignment="1">
      <alignment vertical="center"/>
    </xf>
    <xf numFmtId="0" fontId="72" fillId="2" borderId="0" xfId="16" applyFont="1" applyFill="1" applyAlignment="1">
      <alignment horizontal="right" vertical="center"/>
    </xf>
    <xf numFmtId="0" fontId="53" fillId="0" borderId="0" xfId="16" applyFont="1" applyAlignment="1">
      <alignment vertical="center"/>
    </xf>
    <xf numFmtId="0" fontId="76" fillId="17" borderId="0" xfId="16" applyFill="1"/>
    <xf numFmtId="0" fontId="78" fillId="17" borderId="0" xfId="17" applyFont="1" applyFill="1" applyAlignment="1" applyProtection="1"/>
    <xf numFmtId="0" fontId="52" fillId="17" borderId="0" xfId="16" applyFont="1" applyFill="1" applyAlignment="1">
      <alignment horizontal="right"/>
    </xf>
    <xf numFmtId="0" fontId="76" fillId="0" borderId="0" xfId="16"/>
    <xf numFmtId="0" fontId="79" fillId="17" borderId="0" xfId="16" applyFont="1" applyFill="1" applyAlignment="1">
      <alignment horizontal="right" vertical="center"/>
    </xf>
    <xf numFmtId="0" fontId="80" fillId="17" borderId="0" xfId="17" applyFont="1" applyFill="1" applyAlignment="1" applyProtection="1">
      <alignment horizontal="center" vertical="center"/>
    </xf>
    <xf numFmtId="0" fontId="52" fillId="17" borderId="0" xfId="16" applyFont="1" applyFill="1" applyAlignment="1">
      <alignment horizontal="left"/>
    </xf>
    <xf numFmtId="0" fontId="50" fillId="22" borderId="0" xfId="16" applyFont="1" applyFill="1"/>
    <xf numFmtId="0" fontId="81" fillId="22" borderId="0" xfId="17" applyFont="1" applyFill="1" applyAlignment="1" applyProtection="1">
      <alignment horizontal="center" vertical="center"/>
    </xf>
    <xf numFmtId="0" fontId="82" fillId="22" borderId="0" xfId="16" applyFont="1" applyFill="1"/>
    <xf numFmtId="0" fontId="50" fillId="22" borderId="0" xfId="17" applyFont="1" applyFill="1" applyAlignment="1" applyProtection="1">
      <alignment horizontal="center" vertical="center"/>
    </xf>
    <xf numFmtId="0" fontId="83" fillId="0" borderId="0" xfId="16" applyFont="1" applyAlignment="1">
      <alignment vertical="top"/>
    </xf>
    <xf numFmtId="0" fontId="7" fillId="0" borderId="0" xfId="16" applyFont="1" applyAlignment="1">
      <alignment horizontal="left" wrapText="1" indent="1"/>
    </xf>
    <xf numFmtId="0" fontId="84" fillId="0" borderId="0" xfId="17" applyFont="1" applyFill="1" applyAlignment="1" applyProtection="1">
      <alignment horizontal="left" vertical="top" indent="1"/>
    </xf>
    <xf numFmtId="0" fontId="7" fillId="0" borderId="0" xfId="16" applyFont="1" applyAlignment="1">
      <alignment horizontal="left" vertical="center" indent="1"/>
    </xf>
    <xf numFmtId="0" fontId="7" fillId="0" borderId="0" xfId="16" applyFont="1" applyAlignment="1">
      <alignment horizontal="left" vertical="center" wrapText="1" indent="1"/>
    </xf>
    <xf numFmtId="0" fontId="7" fillId="0" borderId="25" xfId="16" applyFont="1" applyBorder="1" applyAlignment="1">
      <alignment horizontal="center" vertical="center"/>
    </xf>
    <xf numFmtId="0" fontId="75" fillId="30" borderId="0" xfId="16" applyFont="1" applyFill="1" applyAlignment="1">
      <alignment horizontal="center" vertical="center"/>
    </xf>
    <xf numFmtId="0" fontId="86" fillId="0" borderId="0" xfId="16" applyFont="1" applyAlignment="1">
      <alignment horizontal="left" vertical="center" indent="1"/>
    </xf>
    <xf numFmtId="0" fontId="88" fillId="0" borderId="0" xfId="16" applyFont="1" applyAlignment="1">
      <alignment vertical="center"/>
    </xf>
    <xf numFmtId="0" fontId="76" fillId="0" borderId="0" xfId="16" applyAlignment="1">
      <alignment vertical="center"/>
    </xf>
    <xf numFmtId="0" fontId="7" fillId="0" borderId="0" xfId="16" applyFont="1" applyAlignment="1">
      <alignment horizontal="left" vertical="top" wrapText="1" indent="1"/>
    </xf>
    <xf numFmtId="0" fontId="7" fillId="0" borderId="0" xfId="16" applyFont="1" applyAlignment="1">
      <alignment vertical="top" wrapText="1"/>
    </xf>
    <xf numFmtId="0" fontId="7" fillId="0" borderId="0" xfId="16" applyFont="1" applyAlignment="1">
      <alignment horizontal="left" indent="1"/>
    </xf>
    <xf numFmtId="0" fontId="50" fillId="22" borderId="0" xfId="16" applyFont="1" applyFill="1" applyAlignment="1">
      <alignment vertical="top"/>
    </xf>
    <xf numFmtId="0" fontId="50" fillId="22" borderId="0" xfId="16" applyFont="1" applyFill="1" applyAlignment="1">
      <alignment horizontal="right" vertical="top"/>
    </xf>
    <xf numFmtId="0" fontId="89" fillId="22" borderId="0" xfId="17" applyFont="1" applyFill="1" applyAlignment="1" applyProtection="1">
      <alignment horizontal="left" vertical="top"/>
    </xf>
    <xf numFmtId="0" fontId="90" fillId="22" borderId="0" xfId="16" applyFont="1" applyFill="1" applyAlignment="1">
      <alignment vertical="top"/>
    </xf>
    <xf numFmtId="0" fontId="91" fillId="22" borderId="0" xfId="16" applyFont="1" applyFill="1" applyAlignment="1">
      <alignment vertical="top"/>
    </xf>
    <xf numFmtId="0" fontId="82" fillId="22" borderId="0" xfId="16" applyFont="1" applyFill="1" applyAlignment="1">
      <alignment vertical="top"/>
    </xf>
    <xf numFmtId="0" fontId="92" fillId="22" borderId="0" xfId="16" applyFont="1" applyFill="1" applyAlignment="1">
      <alignment vertical="top"/>
    </xf>
    <xf numFmtId="0" fontId="93" fillId="17" borderId="0" xfId="16" applyFont="1" applyFill="1" applyAlignment="1">
      <alignment vertical="top"/>
    </xf>
    <xf numFmtId="0" fontId="94" fillId="17" borderId="0" xfId="16" applyFont="1" applyFill="1" applyAlignment="1">
      <alignment horizontal="center" vertical="top"/>
    </xf>
    <xf numFmtId="0" fontId="7" fillId="17" borderId="0" xfId="16" applyFont="1" applyFill="1" applyAlignment="1">
      <alignment vertical="top"/>
    </xf>
    <xf numFmtId="0" fontId="83" fillId="0" borderId="0" xfId="16" applyFont="1" applyAlignment="1">
      <alignment horizontal="left" indent="1"/>
    </xf>
    <xf numFmtId="0" fontId="57" fillId="0" borderId="0" xfId="16" applyFont="1" applyAlignment="1">
      <alignment horizontal="left" indent="1"/>
    </xf>
    <xf numFmtId="0" fontId="94" fillId="0" borderId="0" xfId="16" applyFont="1" applyAlignment="1">
      <alignment horizontal="center"/>
    </xf>
    <xf numFmtId="0" fontId="95" fillId="0" borderId="49" xfId="16" quotePrefix="1" applyFont="1" applyBorder="1" applyAlignment="1">
      <alignment horizontal="center" vertical="center"/>
    </xf>
    <xf numFmtId="0" fontId="7" fillId="0" borderId="0" xfId="16" applyFont="1" applyAlignment="1">
      <alignment horizontal="center"/>
    </xf>
    <xf numFmtId="0" fontId="95" fillId="0" borderId="50" xfId="16" quotePrefix="1" applyFont="1" applyBorder="1" applyAlignment="1">
      <alignment horizontal="center" vertical="center"/>
    </xf>
    <xf numFmtId="0" fontId="95" fillId="0" borderId="51" xfId="16" quotePrefix="1" applyFont="1" applyBorder="1" applyAlignment="1">
      <alignment horizontal="center" vertical="center"/>
    </xf>
    <xf numFmtId="0" fontId="65" fillId="0" borderId="0" xfId="16" applyFont="1" applyAlignment="1">
      <alignment horizontal="center"/>
    </xf>
    <xf numFmtId="0" fontId="95" fillId="0" borderId="52" xfId="16" quotePrefix="1" applyFont="1" applyBorder="1" applyAlignment="1">
      <alignment horizontal="center" vertical="center"/>
    </xf>
    <xf numFmtId="0" fontId="7" fillId="17" borderId="0" xfId="16" applyFont="1" applyFill="1"/>
    <xf numFmtId="0" fontId="79" fillId="0" borderId="0" xfId="16" applyFont="1" applyAlignment="1">
      <alignment horizontal="right"/>
    </xf>
    <xf numFmtId="49" fontId="96" fillId="0" borderId="53" xfId="16" quotePrefix="1" applyNumberFormat="1" applyFont="1" applyBorder="1" applyAlignment="1">
      <alignment horizontal="center" vertical="center"/>
    </xf>
    <xf numFmtId="0" fontId="97" fillId="22" borderId="0" xfId="16" applyFont="1" applyFill="1" applyAlignment="1">
      <alignment horizontal="center"/>
    </xf>
    <xf numFmtId="0" fontId="97" fillId="22" borderId="0" xfId="16" applyFont="1" applyFill="1"/>
    <xf numFmtId="0" fontId="58" fillId="0" borderId="0" xfId="16" applyFont="1" applyAlignment="1">
      <alignment horizontal="center"/>
    </xf>
    <xf numFmtId="0" fontId="53" fillId="0" borderId="0" xfId="16" applyFont="1"/>
    <xf numFmtId="0" fontId="76" fillId="0" borderId="0" xfId="16" applyAlignment="1">
      <alignment horizontal="center"/>
    </xf>
    <xf numFmtId="0" fontId="96" fillId="0" borderId="53" xfId="16" applyFont="1" applyBorder="1" applyAlignment="1">
      <alignment horizontal="center" vertical="center"/>
    </xf>
    <xf numFmtId="0" fontId="52" fillId="0" borderId="0" xfId="16" applyFont="1" applyAlignment="1">
      <alignment horizontal="left" vertical="center"/>
    </xf>
    <xf numFmtId="0" fontId="52" fillId="0" borderId="0" xfId="16" applyFont="1" applyAlignment="1">
      <alignment horizontal="left" indent="1"/>
    </xf>
    <xf numFmtId="0" fontId="85" fillId="0" borderId="0" xfId="16" applyFont="1"/>
    <xf numFmtId="0" fontId="7" fillId="0" borderId="0" xfId="16" applyFont="1" applyAlignment="1">
      <alignment horizontal="left" vertical="top" indent="1"/>
    </xf>
    <xf numFmtId="0" fontId="98" fillId="0" borderId="0" xfId="16" applyFont="1" applyAlignment="1">
      <alignment horizontal="center" vertical="center"/>
    </xf>
    <xf numFmtId="0" fontId="55" fillId="0" borderId="0" xfId="16" applyFont="1" applyAlignment="1">
      <alignment horizontal="left" vertical="center"/>
    </xf>
    <xf numFmtId="0" fontId="52" fillId="0" borderId="0" xfId="16" applyFont="1" applyAlignment="1">
      <alignment horizontal="left" vertical="top" indent="1"/>
    </xf>
    <xf numFmtId="14" fontId="99" fillId="31" borderId="0" xfId="16" applyNumberFormat="1" applyFont="1" applyFill="1" applyAlignment="1">
      <alignment horizontal="center"/>
    </xf>
    <xf numFmtId="14" fontId="100" fillId="32" borderId="0" xfId="16" applyNumberFormat="1" applyFont="1" applyFill="1" applyAlignment="1">
      <alignment horizontal="center"/>
    </xf>
    <xf numFmtId="0" fontId="58" fillId="0" borderId="53" xfId="16" applyFont="1" applyBorder="1" applyAlignment="1">
      <alignment horizontal="center" vertical="center"/>
    </xf>
    <xf numFmtId="0" fontId="81" fillId="22" borderId="0" xfId="16" applyFont="1" applyFill="1" applyAlignment="1">
      <alignment vertical="top"/>
    </xf>
    <xf numFmtId="0" fontId="76" fillId="15" borderId="0" xfId="16" applyFill="1"/>
    <xf numFmtId="0" fontId="101" fillId="15" borderId="0" xfId="16" applyFont="1" applyFill="1" applyAlignment="1">
      <alignment vertical="top"/>
    </xf>
    <xf numFmtId="0" fontId="78" fillId="15" borderId="0" xfId="17" applyFont="1" applyFill="1" applyAlignment="1" applyProtection="1"/>
    <xf numFmtId="0" fontId="7" fillId="15" borderId="0" xfId="16" applyFont="1" applyFill="1" applyAlignment="1">
      <alignment horizontal="right" vertical="top"/>
    </xf>
    <xf numFmtId="0" fontId="83" fillId="17" borderId="0" xfId="16" applyFont="1" applyFill="1" applyAlignment="1">
      <alignment horizontal="left" vertical="center"/>
    </xf>
    <xf numFmtId="0" fontId="77" fillId="17" borderId="0" xfId="17" applyFill="1" applyAlignment="1" applyProtection="1">
      <alignment horizontal="center" vertical="center"/>
    </xf>
    <xf numFmtId="0" fontId="88" fillId="0" borderId="0" xfId="16" applyFont="1" applyAlignment="1">
      <alignment horizontal="left" indent="1"/>
    </xf>
    <xf numFmtId="0" fontId="102" fillId="15" borderId="0" xfId="16" applyFont="1" applyFill="1" applyAlignment="1">
      <alignment horizontal="left" indent="1"/>
    </xf>
    <xf numFmtId="0" fontId="85" fillId="0" borderId="0" xfId="16" applyFont="1" applyAlignment="1">
      <alignment horizontal="left" wrapText="1" indent="1"/>
    </xf>
    <xf numFmtId="0" fontId="86" fillId="0" borderId="0" xfId="16" applyFont="1" applyAlignment="1">
      <alignment horizontal="left" wrapText="1" indent="1"/>
    </xf>
    <xf numFmtId="0" fontId="86" fillId="0" borderId="0" xfId="16" applyFont="1"/>
    <xf numFmtId="0" fontId="86" fillId="0" borderId="0" xfId="16" applyFont="1" applyAlignment="1">
      <alignment wrapText="1"/>
    </xf>
    <xf numFmtId="0" fontId="7" fillId="0" borderId="0" xfId="16" applyFont="1" applyAlignment="1">
      <alignment horizontal="left" wrapText="1" indent="2"/>
    </xf>
    <xf numFmtId="0" fontId="85" fillId="0" borderId="0" xfId="16" applyFont="1" applyAlignment="1">
      <alignment horizontal="left" indent="1"/>
    </xf>
    <xf numFmtId="0" fontId="7" fillId="0" borderId="0" xfId="16" applyFont="1" applyAlignment="1">
      <alignment horizontal="left" vertical="top" wrapText="1" indent="2"/>
    </xf>
    <xf numFmtId="0" fontId="87" fillId="0" borderId="0" xfId="16" applyFont="1" applyAlignment="1">
      <alignment horizontal="left" indent="1"/>
    </xf>
    <xf numFmtId="0" fontId="86" fillId="0" borderId="0" xfId="16" applyFont="1" applyAlignment="1">
      <alignment horizontal="left" wrapText="1" indent="2"/>
    </xf>
    <xf numFmtId="0" fontId="86" fillId="0" borderId="0" xfId="16" quotePrefix="1" applyFont="1" applyAlignment="1">
      <alignment horizontal="left" wrapText="1" indent="2"/>
    </xf>
    <xf numFmtId="0" fontId="7" fillId="0" borderId="0" xfId="16" applyFont="1" applyAlignment="1">
      <alignment horizontal="left" indent="2"/>
    </xf>
    <xf numFmtId="0" fontId="7" fillId="0" borderId="0" xfId="16" applyFont="1" applyAlignment="1">
      <alignment horizontal="right"/>
    </xf>
    <xf numFmtId="0" fontId="102" fillId="0" borderId="0" xfId="16" applyFont="1" applyAlignment="1">
      <alignment horizontal="left" indent="1"/>
    </xf>
    <xf numFmtId="0" fontId="7" fillId="0" borderId="54" xfId="16" applyFont="1" applyBorder="1" applyAlignment="1">
      <alignment horizontal="center" vertical="center"/>
    </xf>
    <xf numFmtId="0" fontId="88" fillId="0" borderId="0" xfId="16" applyFont="1" applyAlignment="1">
      <alignment horizontal="left"/>
    </xf>
    <xf numFmtId="0" fontId="97" fillId="22" borderId="0" xfId="16" applyFont="1" applyFill="1" applyAlignment="1">
      <alignment horizontal="center" vertical="center"/>
    </xf>
    <xf numFmtId="0" fontId="7" fillId="0" borderId="54" xfId="16" applyFont="1" applyBorder="1" applyAlignment="1">
      <alignment horizontal="left" vertical="center"/>
    </xf>
    <xf numFmtId="0" fontId="7" fillId="0" borderId="0" xfId="16" quotePrefix="1" applyFont="1" applyAlignment="1">
      <alignment horizontal="left" indent="1"/>
    </xf>
    <xf numFmtId="0" fontId="7" fillId="0" borderId="0" xfId="16" quotePrefix="1" applyFont="1" applyAlignment="1">
      <alignment horizontal="left" wrapText="1" indent="1"/>
    </xf>
    <xf numFmtId="0" fontId="85" fillId="0" borderId="0" xfId="16" quotePrefix="1" applyFont="1" applyAlignment="1">
      <alignment horizontal="left" wrapText="1" indent="1"/>
    </xf>
    <xf numFmtId="0" fontId="85" fillId="0" borderId="0" xfId="16" quotePrefix="1" applyFont="1" applyAlignment="1">
      <alignment horizontal="left" indent="1"/>
    </xf>
    <xf numFmtId="0" fontId="7" fillId="7" borderId="0" xfId="16" quotePrefix="1" applyFont="1" applyFill="1" applyAlignment="1">
      <alignment horizontal="left" wrapText="1" indent="1"/>
    </xf>
    <xf numFmtId="0" fontId="108" fillId="17" borderId="0" xfId="16" applyFont="1" applyFill="1" applyAlignment="1">
      <alignment horizontal="right" vertical="top"/>
    </xf>
    <xf numFmtId="0" fontId="108" fillId="17" borderId="0" xfId="16" applyFont="1" applyFill="1" applyAlignment="1">
      <alignment vertical="top"/>
    </xf>
    <xf numFmtId="0" fontId="77" fillId="0" borderId="0" xfId="17" applyFill="1" applyAlignment="1" applyProtection="1">
      <alignment horizontal="left" indent="1"/>
    </xf>
    <xf numFmtId="0" fontId="86" fillId="0" borderId="0" xfId="16" applyFont="1" applyAlignment="1">
      <alignment horizontal="left" vertical="top" wrapText="1" indent="1"/>
    </xf>
    <xf numFmtId="0" fontId="53" fillId="0" borderId="0" xfId="16" applyFont="1" applyAlignment="1">
      <alignment wrapText="1"/>
    </xf>
    <xf numFmtId="0" fontId="53" fillId="0" borderId="0" xfId="16" applyFont="1" applyAlignment="1">
      <alignment horizontal="left" vertical="center"/>
    </xf>
    <xf numFmtId="0" fontId="32" fillId="9" borderId="0" xfId="0" applyFont="1" applyFill="1" applyAlignment="1">
      <alignment horizontal="left"/>
    </xf>
    <xf numFmtId="14" fontId="109" fillId="3" borderId="40" xfId="14" applyNumberFormat="1" applyFont="1" applyFill="1" applyBorder="1" applyAlignment="1">
      <alignment horizontal="right" vertical="center" shrinkToFit="1"/>
    </xf>
    <xf numFmtId="14" fontId="63" fillId="3" borderId="40" xfId="14" applyNumberFormat="1" applyFont="1" applyFill="1" applyBorder="1" applyAlignment="1">
      <alignment horizontal="right" vertical="center" shrinkToFit="1"/>
    </xf>
    <xf numFmtId="0" fontId="0" fillId="14" borderId="0" xfId="0" applyFill="1" applyAlignment="1">
      <alignment horizontal="right"/>
    </xf>
    <xf numFmtId="0" fontId="1" fillId="0" borderId="26" xfId="0" applyFont="1" applyBorder="1" applyAlignment="1">
      <alignment horizontal="center"/>
    </xf>
    <xf numFmtId="0" fontId="1" fillId="0" borderId="0" xfId="0" applyFont="1" applyAlignment="1">
      <alignment horizontal="center"/>
    </xf>
    <xf numFmtId="0" fontId="51" fillId="17" borderId="34" xfId="14" applyFont="1" applyFill="1" applyBorder="1" applyAlignment="1">
      <alignment horizontal="left" vertical="center"/>
    </xf>
    <xf numFmtId="0" fontId="58" fillId="24" borderId="35" xfId="14" applyFont="1" applyFill="1" applyBorder="1" applyAlignment="1">
      <alignment horizontal="center" vertical="center"/>
    </xf>
    <xf numFmtId="0" fontId="58" fillId="24" borderId="0" xfId="14" applyFont="1" applyFill="1" applyAlignment="1">
      <alignment horizontal="center" vertical="center"/>
    </xf>
    <xf numFmtId="0" fontId="58" fillId="24" borderId="36" xfId="14" applyFont="1" applyFill="1" applyBorder="1" applyAlignment="1">
      <alignment horizontal="center" vertical="center"/>
    </xf>
    <xf numFmtId="0" fontId="58" fillId="25" borderId="35" xfId="14" applyFont="1" applyFill="1" applyBorder="1" applyAlignment="1">
      <alignment horizontal="center" vertical="center"/>
    </xf>
    <xf numFmtId="0" fontId="58" fillId="25" borderId="0" xfId="14" applyFont="1" applyFill="1" applyAlignment="1">
      <alignment horizontal="center" vertical="center"/>
    </xf>
    <xf numFmtId="0" fontId="58" fillId="25" borderId="36" xfId="14" applyFont="1" applyFill="1" applyBorder="1" applyAlignment="1">
      <alignment horizontal="center" vertical="center"/>
    </xf>
    <xf numFmtId="179" fontId="51" fillId="17" borderId="34" xfId="14" applyNumberFormat="1" applyFont="1" applyFill="1" applyBorder="1" applyAlignment="1">
      <alignment horizontal="left" vertical="center" shrinkToFit="1"/>
    </xf>
    <xf numFmtId="0" fontId="61" fillId="26" borderId="0" xfId="14" applyFont="1" applyFill="1" applyAlignment="1">
      <alignment horizontal="center" vertical="center" wrapText="1" shrinkToFit="1"/>
    </xf>
    <xf numFmtId="0" fontId="60" fillId="26" borderId="0" xfId="14" applyFont="1" applyFill="1" applyAlignment="1">
      <alignment horizontal="left" vertical="center" wrapText="1"/>
    </xf>
    <xf numFmtId="0" fontId="60" fillId="26" borderId="0" xfId="14" applyFont="1" applyFill="1" applyAlignment="1">
      <alignment horizontal="left" vertical="center"/>
    </xf>
    <xf numFmtId="0" fontId="61" fillId="26" borderId="0" xfId="14" applyFont="1" applyFill="1" applyAlignment="1">
      <alignment horizontal="left" vertical="center"/>
    </xf>
    <xf numFmtId="0" fontId="61" fillId="26" borderId="0" xfId="14" applyFont="1" applyFill="1" applyAlignment="1">
      <alignment horizontal="center" vertical="center" wrapText="1"/>
    </xf>
    <xf numFmtId="0" fontId="61" fillId="26" borderId="0" xfId="14" applyFont="1" applyFill="1" applyAlignment="1">
      <alignment horizontal="center" vertical="center"/>
    </xf>
    <xf numFmtId="0" fontId="24" fillId="8" borderId="9" xfId="0" applyFont="1" applyFill="1" applyBorder="1" applyAlignment="1">
      <alignment horizontal="center" vertical="center" wrapText="1"/>
    </xf>
    <xf numFmtId="0" fontId="24" fillId="8" borderId="10" xfId="0" applyFont="1" applyFill="1" applyBorder="1" applyAlignment="1">
      <alignment horizontal="center" vertical="center" wrapText="1"/>
    </xf>
    <xf numFmtId="0" fontId="24" fillId="8" borderId="11" xfId="0" applyFont="1" applyFill="1" applyBorder="1" applyAlignment="1">
      <alignment horizontal="center" vertical="center" wrapText="1"/>
    </xf>
    <xf numFmtId="0" fontId="24" fillId="8" borderId="12" xfId="0" applyFont="1" applyFill="1" applyBorder="1" applyAlignment="1">
      <alignment horizontal="center" vertical="center" wrapText="1"/>
    </xf>
    <xf numFmtId="0" fontId="24" fillId="8" borderId="0" xfId="0" applyFont="1" applyFill="1" applyAlignment="1">
      <alignment horizontal="center" vertical="center" wrapText="1"/>
    </xf>
    <xf numFmtId="0" fontId="24" fillId="8" borderId="13" xfId="0" applyFont="1" applyFill="1" applyBorder="1" applyAlignment="1">
      <alignment horizontal="center" vertical="center" wrapText="1"/>
    </xf>
    <xf numFmtId="0" fontId="24" fillId="8" borderId="14" xfId="0" applyFont="1" applyFill="1" applyBorder="1" applyAlignment="1">
      <alignment horizontal="center" vertical="center" wrapText="1"/>
    </xf>
    <xf numFmtId="0" fontId="24" fillId="8" borderId="15" xfId="0" applyFont="1" applyFill="1" applyBorder="1" applyAlignment="1">
      <alignment horizontal="center" vertical="center" wrapText="1"/>
    </xf>
    <xf numFmtId="0" fontId="24" fillId="8" borderId="16" xfId="0" applyFont="1" applyFill="1" applyBorder="1" applyAlignment="1">
      <alignment horizontal="center" vertical="center" wrapText="1"/>
    </xf>
    <xf numFmtId="0" fontId="32" fillId="6" borderId="10" xfId="0" applyFont="1" applyFill="1" applyBorder="1" applyAlignment="1">
      <alignment horizontal="center" vertical="center" wrapText="1"/>
    </xf>
    <xf numFmtId="0" fontId="32" fillId="6" borderId="15" xfId="0" applyFont="1" applyFill="1" applyBorder="1" applyAlignment="1">
      <alignment horizontal="center" vertical="center" wrapText="1"/>
    </xf>
    <xf numFmtId="0" fontId="32" fillId="6" borderId="11" xfId="0" applyFont="1" applyFill="1" applyBorder="1" applyAlignment="1">
      <alignment horizontal="center" wrapText="1"/>
    </xf>
    <xf numFmtId="0" fontId="32" fillId="6" borderId="16" xfId="0" applyFont="1" applyFill="1" applyBorder="1" applyAlignment="1">
      <alignment horizontal="center" wrapText="1"/>
    </xf>
    <xf numFmtId="0" fontId="32" fillId="6" borderId="9" xfId="0" applyFont="1" applyFill="1" applyBorder="1" applyAlignment="1">
      <alignment horizontal="center" vertical="center" wrapText="1"/>
    </xf>
    <xf numFmtId="0" fontId="32" fillId="6" borderId="11" xfId="0" applyFont="1" applyFill="1" applyBorder="1" applyAlignment="1">
      <alignment horizontal="center" vertical="center" wrapText="1"/>
    </xf>
    <xf numFmtId="0" fontId="32" fillId="6" borderId="14" xfId="0" applyFont="1" applyFill="1" applyBorder="1" applyAlignment="1">
      <alignment horizontal="center" vertical="center" wrapText="1"/>
    </xf>
    <xf numFmtId="0" fontId="32" fillId="6" borderId="16" xfId="0" applyFont="1" applyFill="1" applyBorder="1" applyAlignment="1">
      <alignment horizontal="center" vertical="center" wrapText="1"/>
    </xf>
    <xf numFmtId="0" fontId="24" fillId="7" borderId="9" xfId="0" applyFont="1" applyFill="1" applyBorder="1" applyAlignment="1">
      <alignment horizontal="center" vertical="center" wrapText="1"/>
    </xf>
    <xf numFmtId="0" fontId="24" fillId="7" borderId="10" xfId="0" applyFont="1" applyFill="1" applyBorder="1" applyAlignment="1">
      <alignment horizontal="center" vertical="center" wrapText="1"/>
    </xf>
    <xf numFmtId="0" fontId="24" fillId="7" borderId="11" xfId="0" applyFont="1" applyFill="1" applyBorder="1" applyAlignment="1">
      <alignment horizontal="center" vertical="center" wrapText="1"/>
    </xf>
    <xf numFmtId="0" fontId="24" fillId="7" borderId="12" xfId="0" applyFont="1" applyFill="1" applyBorder="1" applyAlignment="1">
      <alignment horizontal="center" vertical="center" wrapText="1"/>
    </xf>
    <xf numFmtId="0" fontId="24" fillId="7" borderId="0" xfId="0" applyFont="1" applyFill="1" applyAlignment="1">
      <alignment horizontal="center" vertical="center" wrapText="1"/>
    </xf>
    <xf numFmtId="0" fontId="24" fillId="7" borderId="13" xfId="0" applyFont="1" applyFill="1" applyBorder="1" applyAlignment="1">
      <alignment horizontal="center" vertical="center" wrapText="1"/>
    </xf>
    <xf numFmtId="0" fontId="24" fillId="7" borderId="14" xfId="0" applyFont="1" applyFill="1" applyBorder="1" applyAlignment="1">
      <alignment horizontal="center" vertical="center" wrapText="1"/>
    </xf>
    <xf numFmtId="0" fontId="24" fillId="7" borderId="15" xfId="0" applyFont="1" applyFill="1" applyBorder="1" applyAlignment="1">
      <alignment horizontal="center" vertical="center" wrapText="1"/>
    </xf>
    <xf numFmtId="0" fontId="24" fillId="7" borderId="16" xfId="0" applyFont="1" applyFill="1" applyBorder="1" applyAlignment="1">
      <alignment horizontal="center" vertical="center" wrapText="1"/>
    </xf>
    <xf numFmtId="0" fontId="32" fillId="6" borderId="9" xfId="0" applyFont="1" applyFill="1" applyBorder="1" applyAlignment="1">
      <alignment horizontal="center" vertical="center"/>
    </xf>
    <xf numFmtId="0" fontId="32" fillId="6" borderId="11" xfId="0" applyFont="1" applyFill="1" applyBorder="1" applyAlignment="1">
      <alignment horizontal="center" vertical="center"/>
    </xf>
    <xf numFmtId="0" fontId="32" fillId="6" borderId="14" xfId="0" applyFont="1" applyFill="1" applyBorder="1" applyAlignment="1">
      <alignment horizontal="center" vertical="center"/>
    </xf>
    <xf numFmtId="0" fontId="32" fillId="6" borderId="16" xfId="0" applyFont="1" applyFill="1" applyBorder="1" applyAlignment="1">
      <alignment horizontal="center" vertical="center"/>
    </xf>
    <xf numFmtId="0" fontId="24" fillId="7" borderId="18" xfId="0" applyFont="1" applyFill="1" applyBorder="1" applyAlignment="1">
      <alignment horizontal="center" vertical="center" wrapText="1"/>
    </xf>
    <xf numFmtId="0" fontId="24" fillId="7" borderId="20" xfId="0" applyFont="1" applyFill="1" applyBorder="1" applyAlignment="1">
      <alignment horizontal="center" vertical="center" wrapText="1"/>
    </xf>
    <xf numFmtId="0" fontId="24" fillId="6" borderId="18" xfId="0" applyFont="1" applyFill="1" applyBorder="1" applyAlignment="1">
      <alignment horizontal="center" vertical="center" wrapText="1"/>
    </xf>
    <xf numFmtId="0" fontId="24" fillId="6" borderId="20" xfId="0" applyFont="1" applyFill="1" applyBorder="1" applyAlignment="1">
      <alignment horizontal="center" vertical="center" wrapText="1"/>
    </xf>
    <xf numFmtId="0" fontId="24" fillId="8" borderId="18" xfId="0" applyFont="1" applyFill="1" applyBorder="1" applyAlignment="1">
      <alignment horizontal="center" vertical="center" wrapText="1"/>
    </xf>
    <xf numFmtId="0" fontId="24" fillId="8" borderId="20" xfId="0" applyFont="1" applyFill="1" applyBorder="1" applyAlignment="1">
      <alignment horizontal="center" vertical="center" wrapText="1"/>
    </xf>
    <xf numFmtId="0" fontId="24" fillId="6" borderId="18" xfId="0" applyFont="1" applyFill="1" applyBorder="1" applyAlignment="1">
      <alignment horizontal="center"/>
    </xf>
    <xf numFmtId="0" fontId="24" fillId="6" borderId="20" xfId="0" applyFont="1" applyFill="1" applyBorder="1" applyAlignment="1">
      <alignment horizontal="center"/>
    </xf>
    <xf numFmtId="0" fontId="32" fillId="9" borderId="0" xfId="0" applyFont="1" applyFill="1" applyAlignment="1">
      <alignment horizontal="center" vertical="center" wrapText="1"/>
    </xf>
    <xf numFmtId="0" fontId="32" fillId="9" borderId="0" xfId="0" applyFont="1" applyFill="1" applyAlignment="1">
      <alignment horizontal="center" vertical="center"/>
    </xf>
    <xf numFmtId="0" fontId="32" fillId="9" borderId="17" xfId="0" applyFont="1" applyFill="1" applyBorder="1" applyAlignment="1">
      <alignment horizontal="center" vertical="center" wrapText="1"/>
    </xf>
    <xf numFmtId="0" fontId="32" fillId="9" borderId="17" xfId="0" applyFont="1" applyFill="1" applyBorder="1" applyAlignment="1">
      <alignment horizontal="center" vertical="center"/>
    </xf>
    <xf numFmtId="0" fontId="41" fillId="0" borderId="6" xfId="0" applyFont="1" applyBorder="1" applyAlignment="1">
      <alignment horizontal="center" vertical="center" wrapText="1"/>
    </xf>
    <xf numFmtId="0" fontId="41" fillId="0" borderId="7" xfId="0" applyFont="1" applyBorder="1" applyAlignment="1">
      <alignment horizontal="center" vertical="center" wrapText="1"/>
    </xf>
    <xf numFmtId="0" fontId="41" fillId="0" borderId="8" xfId="0" applyFont="1" applyBorder="1" applyAlignment="1">
      <alignment horizontal="center" vertical="center" wrapText="1"/>
    </xf>
    <xf numFmtId="0" fontId="41" fillId="0" borderId="4" xfId="0" applyFont="1" applyBorder="1" applyAlignment="1">
      <alignment horizontal="center" vertical="center" wrapText="1"/>
    </xf>
    <xf numFmtId="0" fontId="41" fillId="0" borderId="5" xfId="0" applyFont="1" applyBorder="1" applyAlignment="1">
      <alignment horizontal="center" vertical="center" wrapText="1"/>
    </xf>
    <xf numFmtId="0" fontId="41" fillId="0" borderId="1" xfId="0" applyFont="1" applyBorder="1" applyAlignment="1">
      <alignment horizontal="center" vertical="center" wrapText="1"/>
    </xf>
    <xf numFmtId="0" fontId="40" fillId="11" borderId="17" xfId="0" applyFont="1" applyFill="1" applyBorder="1" applyAlignment="1">
      <alignment horizontal="center" vertical="center" wrapText="1"/>
    </xf>
    <xf numFmtId="0" fontId="32" fillId="9" borderId="22" xfId="0" applyFont="1" applyFill="1" applyBorder="1" applyAlignment="1">
      <alignment horizontal="center" vertical="center" wrapText="1"/>
    </xf>
    <xf numFmtId="0" fontId="32" fillId="9" borderId="23" xfId="0" applyFont="1" applyFill="1" applyBorder="1" applyAlignment="1">
      <alignment horizontal="center" vertical="center" wrapText="1"/>
    </xf>
    <xf numFmtId="164" fontId="24" fillId="2" borderId="21" xfId="0" applyNumberFormat="1" applyFont="1" applyFill="1" applyBorder="1" applyAlignment="1">
      <alignment horizontal="center" vertical="center" wrapText="1"/>
    </xf>
    <xf numFmtId="164" fontId="24" fillId="2" borderId="2" xfId="0" applyNumberFormat="1" applyFont="1" applyFill="1" applyBorder="1" applyAlignment="1">
      <alignment horizontal="center" vertical="center" wrapText="1"/>
    </xf>
    <xf numFmtId="164" fontId="24" fillId="2" borderId="3" xfId="0" applyNumberFormat="1" applyFont="1" applyFill="1" applyBorder="1" applyAlignment="1">
      <alignment horizontal="center" vertical="center" wrapText="1"/>
    </xf>
    <xf numFmtId="0" fontId="24" fillId="5" borderId="21" xfId="0" applyFont="1" applyFill="1" applyBorder="1" applyAlignment="1">
      <alignment horizontal="center" vertical="center" wrapText="1"/>
    </xf>
    <xf numFmtId="0" fontId="24" fillId="5" borderId="2" xfId="0" applyFont="1" applyFill="1" applyBorder="1" applyAlignment="1">
      <alignment horizontal="center" vertical="center" wrapText="1"/>
    </xf>
    <xf numFmtId="0" fontId="24" fillId="5" borderId="3" xfId="0" applyFont="1" applyFill="1" applyBorder="1" applyAlignment="1">
      <alignment horizontal="center" vertical="center" wrapText="1"/>
    </xf>
    <xf numFmtId="0" fontId="32" fillId="10" borderId="17" xfId="0" applyFont="1" applyFill="1" applyBorder="1" applyAlignment="1">
      <alignment horizontal="center" vertical="center"/>
    </xf>
    <xf numFmtId="0" fontId="40" fillId="12" borderId="17" xfId="0" applyFont="1" applyFill="1" applyBorder="1" applyAlignment="1">
      <alignment horizontal="center"/>
    </xf>
    <xf numFmtId="0" fontId="91" fillId="22" borderId="0" xfId="16" applyFont="1" applyFill="1" applyAlignment="1">
      <alignment horizontal="center" vertical="top"/>
    </xf>
  </cellXfs>
  <cellStyles count="18">
    <cellStyle name="Comma 2" xfId="13" xr:uid="{D078D4F0-9A04-41A6-B991-9E2A6A00E811}"/>
    <cellStyle name="Date" xfId="5" xr:uid="{444D6126-23D5-4295-97B9-41ADE34CBC63}"/>
    <cellStyle name="Heading 1 2" xfId="10" xr:uid="{9D472D71-C34C-4894-97C9-F9561352E543}"/>
    <cellStyle name="Heading 2 2" xfId="9" xr:uid="{1630ADC4-F407-47DF-A78D-18652DE78AF4}"/>
    <cellStyle name="Heading 3 2" xfId="8" xr:uid="{04033490-41D0-4B01-B347-FF1E05B74F91}"/>
    <cellStyle name="Hyperlink" xfId="1" builtinId="8"/>
    <cellStyle name="Hyperlink 2" xfId="3" xr:uid="{FEA88505-E13B-4CDD-BD67-BE80BFB32CBA}"/>
    <cellStyle name="Hyperlink 3" xfId="17" xr:uid="{53715914-B631-4AB2-8A00-C4EB4BED03D9}"/>
    <cellStyle name="Name" xfId="6" xr:uid="{8E8366F2-C308-4567-92F9-27291C541140}"/>
    <cellStyle name="Normal" xfId="0" builtinId="0"/>
    <cellStyle name="Normal 2" xfId="14" xr:uid="{DE534206-C42C-4B49-AE74-D180BE03FCE3}"/>
    <cellStyle name="Normal 3" xfId="16" xr:uid="{81226574-6956-4372-AECF-ED44EBBF6A45}"/>
    <cellStyle name="Percent 2" xfId="4" xr:uid="{8787505A-272B-49A9-BFC1-BB193FAE0F2A}"/>
    <cellStyle name="Percent 3" xfId="15" xr:uid="{E5AC233A-4D29-4B47-8BAB-E622EA8179B6}"/>
    <cellStyle name="Project Start" xfId="11" xr:uid="{87A9DEC2-21B4-4E93-B86D-F6C3EF926E88}"/>
    <cellStyle name="Task" xfId="7" xr:uid="{3B63C624-7683-40F8-85CF-CEA0B09E72C5}"/>
    <cellStyle name="Title 2" xfId="12" xr:uid="{79327B45-D2B7-4A27-AF6E-C1CE468CF59E}"/>
    <cellStyle name="zHiddenText" xfId="2" xr:uid="{51A1D2CB-85D5-4D93-9328-B2548FDBFAE9}"/>
  </cellStyles>
  <dxfs count="41">
    <dxf>
      <numFmt numFmtId="181" formatCode="&quot;◆&quot;;&quot;◆&quot;;&quot;◆&quot;;&quot;◆&quot;"/>
    </dxf>
    <dxf>
      <fill>
        <patternFill patternType="mediumGray">
          <fgColor rgb="FFEAEAEA"/>
        </patternFill>
      </fill>
    </dxf>
    <dxf>
      <border>
        <left style="thin">
          <color theme="0" tint="-0.14996795556505021"/>
        </left>
      </border>
    </dxf>
    <dxf>
      <border>
        <left/>
        <right/>
        <vertical/>
        <horizontal/>
      </border>
    </dxf>
    <dxf>
      <fill>
        <patternFill>
          <bgColor theme="5" tint="0.59996337778862885"/>
        </patternFill>
      </fill>
    </dxf>
    <dxf>
      <fill>
        <patternFill>
          <bgColor theme="6" tint="0.39994506668294322"/>
        </patternFill>
      </fill>
    </dxf>
    <dxf>
      <fill>
        <patternFill>
          <bgColor theme="2" tint="-0.499984740745262"/>
        </patternFill>
      </fill>
    </dxf>
    <dxf>
      <fill>
        <patternFill>
          <bgColor theme="9" tint="0.39994506668294322"/>
        </patternFill>
      </fill>
    </dxf>
    <dxf>
      <fill>
        <patternFill>
          <bgColor theme="8" tint="0.39994506668294322"/>
        </patternFill>
      </fill>
    </dxf>
    <dxf>
      <fill>
        <patternFill>
          <bgColor theme="7" tint="0.39994506668294322"/>
        </patternFill>
      </fill>
    </dxf>
    <dxf>
      <border>
        <left style="thin">
          <color rgb="FFC00000"/>
        </left>
        <right style="thin">
          <color rgb="FFC00000"/>
        </right>
        <vertical/>
        <horizontal/>
      </border>
    </dxf>
    <dxf>
      <fill>
        <patternFill>
          <bgColor theme="5" tint="0.39994506668294322"/>
        </patternFill>
      </fill>
    </dxf>
    <dxf>
      <fill>
        <patternFill>
          <bgColor theme="4" tint="0.39994506668294322"/>
        </patternFill>
      </fill>
    </dxf>
    <dxf>
      <fill>
        <patternFill>
          <bgColor rgb="FFC00000"/>
        </patternFill>
      </fill>
    </dxf>
    <dxf>
      <fill>
        <patternFill>
          <bgColor rgb="FFFFC000"/>
        </patternFill>
      </fill>
    </dxf>
    <dxf>
      <fill>
        <patternFill>
          <bgColor rgb="FFFFFF00"/>
        </patternFill>
      </fill>
    </dxf>
    <dxf>
      <fill>
        <patternFill>
          <bgColor rgb="FF7030A0"/>
        </patternFill>
      </fill>
    </dxf>
    <dxf>
      <fill>
        <patternFill>
          <bgColor rgb="FF00B050"/>
        </patternFill>
      </fill>
    </dxf>
    <dxf>
      <fill>
        <patternFill>
          <bgColor theme="1" tint="0.499984740745262"/>
        </patternFill>
      </fill>
    </dxf>
    <dxf>
      <fill>
        <patternFill>
          <bgColor theme="1"/>
        </patternFill>
      </fill>
    </dxf>
    <dxf>
      <fill>
        <patternFill>
          <bgColor rgb="FF0070C0"/>
        </patternFill>
      </fill>
    </dxf>
    <dxf>
      <fill>
        <patternFill>
          <bgColor theme="0" tint="-0.34998626667073579"/>
        </patternFill>
      </fill>
    </dxf>
    <dxf>
      <numFmt numFmtId="182" formatCode="&quot;/////&quot;;&quot;/////&quot;;&quot;/////&quot;;&quot;/////&quot;"/>
    </dxf>
    <dxf>
      <fill>
        <patternFill patternType="lightUp">
          <fgColor theme="1" tint="0.14996795556505021"/>
        </patternFill>
      </fill>
    </dxf>
    <dxf>
      <font>
        <b/>
        <i val="0"/>
      </font>
    </dxf>
    <dxf>
      <fill>
        <patternFill>
          <bgColor theme="0" tint="-0.34998626667073579"/>
        </patternFill>
      </fill>
    </dxf>
    <dxf>
      <font>
        <color theme="0"/>
      </font>
      <fill>
        <patternFill>
          <bgColor theme="5"/>
        </patternFill>
      </fill>
    </dxf>
    <dxf>
      <fill>
        <patternFill>
          <bgColor rgb="FF00B050"/>
        </patternFill>
      </fill>
    </dxf>
    <dxf>
      <font>
        <b/>
        <i val="0"/>
        <color rgb="FFCC3300"/>
      </font>
      <fill>
        <patternFill>
          <bgColor rgb="FFFDE9D8"/>
        </patternFill>
      </fill>
    </dxf>
    <dxf>
      <font>
        <b/>
        <i val="0"/>
        <color rgb="FFC00000"/>
      </font>
      <fill>
        <patternFill>
          <bgColor rgb="FFE6B8B6"/>
        </patternFill>
      </fill>
    </dxf>
    <dxf>
      <numFmt numFmtId="183" formatCode="[$-809]ddd\ d/mm/yy"/>
    </dxf>
    <dxf>
      <font>
        <color rgb="FF2C6531"/>
      </font>
      <fill>
        <patternFill>
          <bgColor rgb="FFA7D8AB"/>
        </patternFill>
      </fill>
    </dxf>
    <dxf>
      <fill>
        <patternFill>
          <bgColor theme="0" tint="-0.14996795556505021"/>
        </patternFill>
      </fill>
    </dxf>
    <dxf>
      <font>
        <color rgb="FF2C6531"/>
      </font>
      <fill>
        <patternFill>
          <bgColor rgb="FFA7D8AB"/>
        </patternFill>
      </fill>
    </dxf>
    <dxf>
      <numFmt numFmtId="184" formatCode="&quot;  &quot;@"/>
    </dxf>
    <dxf>
      <numFmt numFmtId="185" formatCode="&quot;    &quot;@"/>
    </dxf>
    <dxf>
      <numFmt numFmtId="186" formatCode="&quot;      &quot;@"/>
    </dxf>
    <dxf>
      <numFmt numFmtId="187" formatCode="&quot;        &quot;@"/>
    </dxf>
    <dxf>
      <numFmt numFmtId="188" formatCode="&quot;          &quot;@"/>
    </dxf>
    <dxf>
      <numFmt numFmtId="189" formatCode="&quot;            &quot;@"/>
    </dxf>
    <dxf>
      <numFmt numFmtId="190" formatCode="[$-809]d/mm/yyyy"/>
    </dxf>
  </dxfs>
  <tableStyles count="0" defaultTableStyle="TableStyleMedium2" defaultPivotStyle="PivotStyleLight16"/>
  <colors>
    <mruColors>
      <color rgb="FF333131"/>
      <color rgb="FFFF3F3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800" b="1" i="0" u="none" strike="noStrike" kern="1200" spc="100" baseline="0">
                <a:solidFill>
                  <a:sysClr val="window" lastClr="FFFFFF">
                    <a:lumMod val="95000"/>
                  </a:sysClr>
                </a:solidFill>
                <a:effectLst>
                  <a:outerShdw blurRad="50800" dist="38100" dir="5400000" algn="t" rotWithShape="0">
                    <a:prstClr val="black">
                      <a:alpha val="40000"/>
                    </a:prstClr>
                  </a:outerShdw>
                </a:effectLst>
                <a:latin typeface="+mn-lt"/>
                <a:ea typeface="+mn-ea"/>
                <a:cs typeface="+mn-cs"/>
              </a:defRPr>
            </a:pPr>
            <a:r>
              <a:rPr lang="en-US" sz="1800" b="1" i="0" u="none" strike="noStrike" kern="1200" spc="100" baseline="0">
                <a:solidFill>
                  <a:sysClr val="window" lastClr="FFFFFF">
                    <a:lumMod val="95000"/>
                  </a:sysClr>
                </a:solidFill>
                <a:effectLst>
                  <a:outerShdw blurRad="50800" dist="38100" dir="5400000" algn="t" rotWithShape="0">
                    <a:prstClr val="black">
                      <a:alpha val="40000"/>
                    </a:prstClr>
                  </a:outerShdw>
                </a:effectLst>
                <a:latin typeface="+mn-lt"/>
                <a:ea typeface="+mn-ea"/>
                <a:cs typeface="+mn-cs"/>
              </a:rPr>
              <a:t>Freedom Motors Cumulative Spend By Month</a:t>
            </a:r>
          </a:p>
        </c:rich>
      </c:tx>
      <c:overlay val="0"/>
      <c:spPr>
        <a:noFill/>
        <a:ln>
          <a:noFill/>
        </a:ln>
        <a:effectLst/>
      </c:spPr>
      <c:txPr>
        <a:bodyPr rot="0" spcFirstLastPara="1" vertOverflow="ellipsis" vert="horz" wrap="square" anchor="ctr" anchorCtr="1"/>
        <a:lstStyle/>
        <a:p>
          <a:pPr algn="ctr" rtl="0">
            <a:defRPr lang="en-US" sz="1800" b="1" i="0" u="none" strike="noStrike" kern="1200" spc="100" baseline="0">
              <a:solidFill>
                <a:sysClr val="window" lastClr="FFFFFF">
                  <a:lumMod val="95000"/>
                </a:sys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trendline>
            <c:spPr>
              <a:ln w="19050" cap="rnd">
                <a:solidFill>
                  <a:schemeClr val="accent1"/>
                </a:solidFill>
              </a:ln>
              <a:effectLst/>
            </c:spPr>
            <c:trendlineType val="linear"/>
            <c:dispRSqr val="0"/>
            <c:dispEq val="0"/>
          </c:trendline>
          <c:val>
            <c:numRef>
              <c:f>'Burn Rate'!$H$13:$H$84</c:f>
              <c:numCache>
                <c:formatCode>"$"#,##0</c:formatCode>
                <c:ptCount val="72"/>
                <c:pt idx="0">
                  <c:v>181240.88</c:v>
                </c:pt>
                <c:pt idx="1">
                  <c:v>1507481.7599999998</c:v>
                </c:pt>
                <c:pt idx="2">
                  <c:v>1583722.6399999997</c:v>
                </c:pt>
                <c:pt idx="3">
                  <c:v>2029485.6233333331</c:v>
                </c:pt>
                <c:pt idx="4">
                  <c:v>3725961.9483333332</c:v>
                </c:pt>
                <c:pt idx="5">
                  <c:v>4288938.2733333334</c:v>
                </c:pt>
                <c:pt idx="6">
                  <c:v>4716914.5983333336</c:v>
                </c:pt>
                <c:pt idx="7">
                  <c:v>4969890.9233333338</c:v>
                </c:pt>
                <c:pt idx="8">
                  <c:v>5732555.0116666667</c:v>
                </c:pt>
                <c:pt idx="9">
                  <c:v>6070219.0999999996</c:v>
                </c:pt>
                <c:pt idx="10">
                  <c:v>6407883.1883333325</c:v>
                </c:pt>
                <c:pt idx="11">
                  <c:v>7055547.2766666654</c:v>
                </c:pt>
                <c:pt idx="12">
                  <c:v>7673211.3649999984</c:v>
                </c:pt>
                <c:pt idx="13">
                  <c:v>8010875.4533333313</c:v>
                </c:pt>
                <c:pt idx="14">
                  <c:v>8658539.5416666642</c:v>
                </c:pt>
                <c:pt idx="15">
                  <c:v>8996203.6299999971</c:v>
                </c:pt>
                <c:pt idx="16">
                  <c:v>9296367.71833333</c:v>
                </c:pt>
                <c:pt idx="17">
                  <c:v>9906531.8066666629</c:v>
                </c:pt>
                <c:pt idx="18">
                  <c:v>10206695.894999996</c:v>
                </c:pt>
                <c:pt idx="19">
                  <c:v>10506859.983333329</c:v>
                </c:pt>
                <c:pt idx="20">
                  <c:v>11117024.071666662</c:v>
                </c:pt>
                <c:pt idx="21">
                  <c:v>11417188.159999995</c:v>
                </c:pt>
                <c:pt idx="22">
                  <c:v>11717352.248333327</c:v>
                </c:pt>
                <c:pt idx="23">
                  <c:v>12327516.33666666</c:v>
                </c:pt>
                <c:pt idx="24">
                  <c:v>12732680.424999993</c:v>
                </c:pt>
                <c:pt idx="25">
                  <c:v>13032844.513333326</c:v>
                </c:pt>
                <c:pt idx="26">
                  <c:v>13643008.601666659</c:v>
                </c:pt>
                <c:pt idx="27">
                  <c:v>13943172.689999992</c:v>
                </c:pt>
                <c:pt idx="28">
                  <c:v>14243336.778333325</c:v>
                </c:pt>
                <c:pt idx="29">
                  <c:v>14853500.866666658</c:v>
                </c:pt>
                <c:pt idx="30">
                  <c:v>15153664.954999991</c:v>
                </c:pt>
                <c:pt idx="31">
                  <c:v>15453829.043333324</c:v>
                </c:pt>
                <c:pt idx="32">
                  <c:v>16063993.131666657</c:v>
                </c:pt>
                <c:pt idx="33">
                  <c:v>16364157.219999989</c:v>
                </c:pt>
                <c:pt idx="34">
                  <c:v>16664321.308333322</c:v>
                </c:pt>
                <c:pt idx="35">
                  <c:v>17274485.396666657</c:v>
                </c:pt>
                <c:pt idx="36">
                  <c:v>17679649.484999992</c:v>
                </c:pt>
                <c:pt idx="37">
                  <c:v>17979813.573333327</c:v>
                </c:pt>
                <c:pt idx="38">
                  <c:v>18589977.661666662</c:v>
                </c:pt>
                <c:pt idx="39">
                  <c:v>18890141.749999996</c:v>
                </c:pt>
                <c:pt idx="40">
                  <c:v>19190305.838333331</c:v>
                </c:pt>
                <c:pt idx="41">
                  <c:v>19800469.926666666</c:v>
                </c:pt>
                <c:pt idx="42">
                  <c:v>20100634.015000001</c:v>
                </c:pt>
                <c:pt idx="43">
                  <c:v>20710798.103333335</c:v>
                </c:pt>
                <c:pt idx="44">
                  <c:v>21010962.19166667</c:v>
                </c:pt>
                <c:pt idx="45">
                  <c:v>21621126.280000005</c:v>
                </c:pt>
                <c:pt idx="46">
                  <c:v>21921290.36833334</c:v>
                </c:pt>
                <c:pt idx="47">
                  <c:v>22531454.456666674</c:v>
                </c:pt>
                <c:pt idx="48">
                  <c:v>22936618.545000009</c:v>
                </c:pt>
                <c:pt idx="49">
                  <c:v>23546782.633333344</c:v>
                </c:pt>
                <c:pt idx="50">
                  <c:v>23846946.721666679</c:v>
                </c:pt>
                <c:pt idx="51">
                  <c:v>24457110.810000014</c:v>
                </c:pt>
                <c:pt idx="52">
                  <c:v>24757274.898333348</c:v>
                </c:pt>
                <c:pt idx="53">
                  <c:v>25367438.986666683</c:v>
                </c:pt>
                <c:pt idx="54">
                  <c:v>25667603.075000018</c:v>
                </c:pt>
                <c:pt idx="55">
                  <c:v>26277767.163333353</c:v>
                </c:pt>
                <c:pt idx="56">
                  <c:v>26577931.251666687</c:v>
                </c:pt>
                <c:pt idx="57">
                  <c:v>27188095.340000022</c:v>
                </c:pt>
                <c:pt idx="58">
                  <c:v>27488259.428333357</c:v>
                </c:pt>
                <c:pt idx="59">
                  <c:v>28098423.516666692</c:v>
                </c:pt>
                <c:pt idx="60">
                  <c:v>28503587.605000027</c:v>
                </c:pt>
                <c:pt idx="61">
                  <c:v>29113751.693333361</c:v>
                </c:pt>
                <c:pt idx="62">
                  <c:v>29413915.781666696</c:v>
                </c:pt>
                <c:pt idx="63">
                  <c:v>30024079.870000031</c:v>
                </c:pt>
                <c:pt idx="64">
                  <c:v>30324243.958333366</c:v>
                </c:pt>
                <c:pt idx="65">
                  <c:v>30934408.0466667</c:v>
                </c:pt>
                <c:pt idx="66">
                  <c:v>31234572.135000035</c:v>
                </c:pt>
                <c:pt idx="67">
                  <c:v>31844736.22333337</c:v>
                </c:pt>
                <c:pt idx="68">
                  <c:v>32144900.311666705</c:v>
                </c:pt>
                <c:pt idx="69">
                  <c:v>32755064.400000039</c:v>
                </c:pt>
                <c:pt idx="70">
                  <c:v>33055228.488333374</c:v>
                </c:pt>
                <c:pt idx="71">
                  <c:v>33355392.576666709</c:v>
                </c:pt>
              </c:numCache>
            </c:numRef>
          </c:val>
          <c:extLst>
            <c:ext xmlns:c16="http://schemas.microsoft.com/office/drawing/2014/chart" uri="{C3380CC4-5D6E-409C-BE32-E72D297353CC}">
              <c16:uniqueId val="{00000001-CE46-4D6E-8B4F-86729BF6EC71}"/>
            </c:ext>
          </c:extLst>
        </c:ser>
        <c:dLbls>
          <c:showLegendKey val="0"/>
          <c:showVal val="1"/>
          <c:showCatName val="0"/>
          <c:showSerName val="0"/>
          <c:showPercent val="0"/>
          <c:showBubbleSize val="0"/>
        </c:dLbls>
        <c:gapWidth val="100"/>
        <c:overlap val="-24"/>
        <c:axId val="1025107600"/>
        <c:axId val="1025089296"/>
      </c:barChart>
      <c:catAx>
        <c:axId val="1025107600"/>
        <c:scaling>
          <c:orientation val="minMax"/>
        </c:scaling>
        <c:delete val="0"/>
        <c:axPos val="b"/>
        <c:majorGridlines>
          <c:spPr>
            <a:ln w="9525" cap="flat" cmpd="sng" algn="ctr">
              <a:solidFill>
                <a:schemeClr val="lt1">
                  <a:lumMod val="95000"/>
                  <a:alpha val="10000"/>
                </a:schemeClr>
              </a:solidFill>
              <a:round/>
            </a:ln>
            <a:effectLst/>
          </c:spPr>
        </c:majorGridlines>
        <c:minorGridlines>
          <c:spPr>
            <a:ln>
              <a:solidFill>
                <a:schemeClr val="lt1">
                  <a:lumMod val="95000"/>
                  <a:alpha val="5000"/>
                </a:schemeClr>
              </a:solidFill>
            </a:ln>
            <a:effectLst/>
          </c:spPr>
        </c:minorGridlines>
        <c:title>
          <c:tx>
            <c:rich>
              <a:bodyPr rot="0" spcFirstLastPara="1" vertOverflow="ellipsis" vert="horz" wrap="square" anchor="ctr" anchorCtr="1"/>
              <a:lstStyle/>
              <a:p>
                <a:pPr algn="ctr" rtl="0">
                  <a:defRPr lang="en-US" sz="1600" b="1" i="0" u="none" strike="noStrike" kern="1200" cap="none" baseline="0">
                    <a:solidFill>
                      <a:sysClr val="window" lastClr="FFFFFF">
                        <a:lumMod val="85000"/>
                      </a:sysClr>
                    </a:solidFill>
                    <a:latin typeface="+mn-lt"/>
                    <a:ea typeface="+mn-ea"/>
                    <a:cs typeface="+mn-cs"/>
                  </a:defRPr>
                </a:pPr>
                <a:r>
                  <a:rPr lang="en-US" sz="1600" b="1" i="0" u="none" strike="noStrike" kern="1200" cap="none" baseline="0">
                    <a:solidFill>
                      <a:sysClr val="window" lastClr="FFFFFF">
                        <a:lumMod val="85000"/>
                      </a:sysClr>
                    </a:solidFill>
                    <a:latin typeface="+mn-lt"/>
                    <a:ea typeface="+mn-ea"/>
                    <a:cs typeface="+mn-cs"/>
                  </a:rPr>
                  <a:t>Months </a:t>
                </a:r>
              </a:p>
            </c:rich>
          </c:tx>
          <c:layout>
            <c:manualLayout>
              <c:xMode val="edge"/>
              <c:yMode val="edge"/>
              <c:x val="0.49790884986703116"/>
              <c:y val="0.93606756931543911"/>
            </c:manualLayout>
          </c:layout>
          <c:overlay val="0"/>
          <c:spPr>
            <a:noFill/>
            <a:ln>
              <a:noFill/>
            </a:ln>
            <a:effectLst/>
          </c:spPr>
          <c:txPr>
            <a:bodyPr rot="0" spcFirstLastPara="1" vertOverflow="ellipsis" vert="horz" wrap="square" anchor="ctr" anchorCtr="1"/>
            <a:lstStyle/>
            <a:p>
              <a:pPr algn="ctr" rtl="0">
                <a:defRPr lang="en-US" sz="1600" b="1" i="0" u="none" strike="noStrike" kern="1200" cap="none" baseline="0">
                  <a:solidFill>
                    <a:sysClr val="window" lastClr="FFFFFF">
                      <a:lumMod val="85000"/>
                    </a:sysClr>
                  </a:solidFill>
                  <a:latin typeface="+mn-lt"/>
                  <a:ea typeface="+mn-ea"/>
                  <a:cs typeface="+mn-cs"/>
                </a:defRPr>
              </a:pPr>
              <a:endParaRPr lang="en-US"/>
            </a:p>
          </c:txPr>
        </c:title>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025089296"/>
        <c:crosses val="autoZero"/>
        <c:auto val="1"/>
        <c:lblAlgn val="ctr"/>
        <c:lblOffset val="100"/>
        <c:noMultiLvlLbl val="0"/>
      </c:catAx>
      <c:valAx>
        <c:axId val="1025089296"/>
        <c:scaling>
          <c:orientation val="minMax"/>
          <c:min val="0"/>
        </c:scaling>
        <c:delete val="0"/>
        <c:axPos val="l"/>
        <c:majorGridlines>
          <c:spPr>
            <a:ln w="9525" cap="flat" cmpd="sng" algn="ctr">
              <a:solidFill>
                <a:schemeClr val="lt1">
                  <a:lumMod val="95000"/>
                  <a:alpha val="10000"/>
                </a:schemeClr>
              </a:solidFill>
              <a:round/>
            </a:ln>
            <a:effectLst/>
          </c:spPr>
        </c:majorGridlines>
        <c:minorGridlines>
          <c:spPr>
            <a:ln>
              <a:solidFill>
                <a:schemeClr val="lt1">
                  <a:lumMod val="95000"/>
                  <a:alpha val="5000"/>
                </a:schemeClr>
              </a:solidFill>
            </a:ln>
            <a:effectLst/>
          </c:spPr>
        </c:minorGridlines>
        <c:title>
          <c:tx>
            <c:rich>
              <a:bodyPr rot="-5400000" spcFirstLastPara="1" vertOverflow="ellipsis" vert="horz" wrap="square" anchor="ctr" anchorCtr="1"/>
              <a:lstStyle/>
              <a:p>
                <a:pPr algn="ctr" rtl="0">
                  <a:defRPr lang="en-US" sz="1600" b="1" i="0" u="none" strike="noStrike" kern="1200" cap="none" baseline="0">
                    <a:solidFill>
                      <a:sysClr val="window" lastClr="FFFFFF">
                        <a:lumMod val="85000"/>
                      </a:sysClr>
                    </a:solidFill>
                    <a:latin typeface="+mn-lt"/>
                    <a:ea typeface="+mn-ea"/>
                    <a:cs typeface="+mn-cs"/>
                  </a:defRPr>
                </a:pPr>
                <a:r>
                  <a:rPr lang="en-US" sz="1600" b="1" i="0" u="none" strike="noStrike" kern="1200" cap="none" baseline="0">
                    <a:solidFill>
                      <a:sysClr val="window" lastClr="FFFFFF">
                        <a:lumMod val="85000"/>
                      </a:sysClr>
                    </a:solidFill>
                    <a:latin typeface="+mn-lt"/>
                    <a:ea typeface="+mn-ea"/>
                    <a:cs typeface="+mn-cs"/>
                  </a:rPr>
                  <a:t>Total Cumulative Spend </a:t>
                </a:r>
              </a:p>
            </c:rich>
          </c:tx>
          <c:layout>
            <c:manualLayout>
              <c:xMode val="edge"/>
              <c:yMode val="edge"/>
              <c:x val="6.0309081669181258E-3"/>
              <c:y val="0.26372834219833691"/>
            </c:manualLayout>
          </c:layout>
          <c:overlay val="0"/>
          <c:spPr>
            <a:noFill/>
            <a:ln>
              <a:noFill/>
            </a:ln>
            <a:effectLst/>
          </c:spPr>
          <c:txPr>
            <a:bodyPr rot="-5400000" spcFirstLastPara="1" vertOverflow="ellipsis" vert="horz" wrap="square" anchor="ctr" anchorCtr="1"/>
            <a:lstStyle/>
            <a:p>
              <a:pPr algn="ctr" rtl="0">
                <a:defRPr lang="en-US" sz="1600" b="1" i="0" u="none" strike="noStrike" kern="1200" cap="none" baseline="0">
                  <a:solidFill>
                    <a:sysClr val="window" lastClr="FFFFFF">
                      <a:lumMod val="85000"/>
                    </a:sys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0251076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25" r="0.25"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800"/>
              <a:t>Freedom Motors 36 Months Burn Rate</a:t>
            </a:r>
          </a:p>
        </c:rich>
      </c:tx>
      <c:layout>
        <c:manualLayout>
          <c:xMode val="edge"/>
          <c:yMode val="edge"/>
          <c:x val="0.29841685494787334"/>
          <c:y val="6.334124572446591E-3"/>
        </c:manualLayout>
      </c:layout>
      <c:overlay val="0"/>
      <c:spPr>
        <a:noFill/>
        <a:ln>
          <a:noFill/>
        </a:ln>
        <a:effectLst/>
      </c:spPr>
      <c:txPr>
        <a:bodyPr rot="0" spcFirstLastPara="1" vertOverflow="ellipsis" vert="horz" wrap="square" anchor="ctr" anchorCtr="1"/>
        <a:lstStyle/>
        <a:p>
          <a:pPr>
            <a:defRPr sz="18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manualLayout>
          <c:layoutTarget val="inner"/>
          <c:xMode val="edge"/>
          <c:yMode val="edge"/>
          <c:x val="8.0457888438234787E-2"/>
          <c:y val="6.8894161599644094E-2"/>
          <c:w val="0.9084024571350563"/>
          <c:h val="0.82801106160925331"/>
        </c:manualLayout>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trendline>
            <c:spPr>
              <a:ln w="19050" cap="rnd">
                <a:solidFill>
                  <a:schemeClr val="accent1"/>
                </a:solidFill>
              </a:ln>
              <a:effectLst/>
            </c:spPr>
            <c:trendlineType val="linear"/>
            <c:dispRSqr val="0"/>
            <c:dispEq val="0"/>
          </c:trendline>
          <c:val>
            <c:numRef>
              <c:f>'Burn Rate'!$G$13:$G$84</c:f>
              <c:numCache>
                <c:formatCode>"$"#,##0</c:formatCode>
                <c:ptCount val="72"/>
                <c:pt idx="0">
                  <c:v>181240.88</c:v>
                </c:pt>
                <c:pt idx="1">
                  <c:v>1326240.8799999999</c:v>
                </c:pt>
                <c:pt idx="2">
                  <c:v>76240.87999999999</c:v>
                </c:pt>
                <c:pt idx="3">
                  <c:v>445762.98333333328</c:v>
                </c:pt>
                <c:pt idx="4">
                  <c:v>1696476.3250000002</c:v>
                </c:pt>
                <c:pt idx="5">
                  <c:v>562976.32499999995</c:v>
                </c:pt>
                <c:pt idx="6">
                  <c:v>427976.32499999995</c:v>
                </c:pt>
                <c:pt idx="7">
                  <c:v>252976.32499999998</c:v>
                </c:pt>
                <c:pt idx="8">
                  <c:v>762664.08833333326</c:v>
                </c:pt>
                <c:pt idx="9">
                  <c:v>337664.08833333332</c:v>
                </c:pt>
                <c:pt idx="10">
                  <c:v>337664.08833333332</c:v>
                </c:pt>
                <c:pt idx="11">
                  <c:v>647664.08833333326</c:v>
                </c:pt>
                <c:pt idx="12">
                  <c:v>617664.08833333326</c:v>
                </c:pt>
                <c:pt idx="13">
                  <c:v>337664.08833333332</c:v>
                </c:pt>
                <c:pt idx="14">
                  <c:v>647664.08833333326</c:v>
                </c:pt>
                <c:pt idx="15">
                  <c:v>337664.08833333332</c:v>
                </c:pt>
                <c:pt idx="16">
                  <c:v>300164.08833333332</c:v>
                </c:pt>
                <c:pt idx="17">
                  <c:v>610164.08833333326</c:v>
                </c:pt>
                <c:pt idx="18">
                  <c:v>300164.08833333332</c:v>
                </c:pt>
                <c:pt idx="19">
                  <c:v>300164.08833333332</c:v>
                </c:pt>
                <c:pt idx="20">
                  <c:v>610164.08833333326</c:v>
                </c:pt>
                <c:pt idx="21">
                  <c:v>300164.08833333332</c:v>
                </c:pt>
                <c:pt idx="22">
                  <c:v>300164.08833333332</c:v>
                </c:pt>
                <c:pt idx="23">
                  <c:v>610164.08833333326</c:v>
                </c:pt>
                <c:pt idx="24">
                  <c:v>405164.08833333326</c:v>
                </c:pt>
                <c:pt idx="25">
                  <c:v>300164.08833333332</c:v>
                </c:pt>
                <c:pt idx="26">
                  <c:v>610164.08833333326</c:v>
                </c:pt>
                <c:pt idx="27">
                  <c:v>300164.08833333332</c:v>
                </c:pt>
                <c:pt idx="28">
                  <c:v>300164.08833333332</c:v>
                </c:pt>
                <c:pt idx="29">
                  <c:v>610164.08833333326</c:v>
                </c:pt>
                <c:pt idx="30">
                  <c:v>300164.08833333332</c:v>
                </c:pt>
                <c:pt idx="31">
                  <c:v>300164.08833333332</c:v>
                </c:pt>
                <c:pt idx="32">
                  <c:v>610164.08833333326</c:v>
                </c:pt>
                <c:pt idx="33">
                  <c:v>300164.08833333332</c:v>
                </c:pt>
                <c:pt idx="34">
                  <c:v>300164.08833333332</c:v>
                </c:pt>
                <c:pt idx="35">
                  <c:v>610164.08833333326</c:v>
                </c:pt>
                <c:pt idx="36">
                  <c:v>405164.08833333326</c:v>
                </c:pt>
                <c:pt idx="37">
                  <c:v>300164.08833333332</c:v>
                </c:pt>
                <c:pt idx="38">
                  <c:v>610164.08833333326</c:v>
                </c:pt>
                <c:pt idx="39">
                  <c:v>300164.08833333332</c:v>
                </c:pt>
                <c:pt idx="40">
                  <c:v>300164.08833333332</c:v>
                </c:pt>
                <c:pt idx="41">
                  <c:v>610164.08833333326</c:v>
                </c:pt>
                <c:pt idx="42">
                  <c:v>300164.08833333332</c:v>
                </c:pt>
                <c:pt idx="43">
                  <c:v>610164.08833333326</c:v>
                </c:pt>
                <c:pt idx="44">
                  <c:v>300164.08833333332</c:v>
                </c:pt>
                <c:pt idx="45">
                  <c:v>610164.08833333326</c:v>
                </c:pt>
                <c:pt idx="46">
                  <c:v>300164.08833333332</c:v>
                </c:pt>
                <c:pt idx="47">
                  <c:v>610164.08833333326</c:v>
                </c:pt>
                <c:pt idx="48">
                  <c:v>405164.08833333326</c:v>
                </c:pt>
                <c:pt idx="49">
                  <c:v>610164.08833333326</c:v>
                </c:pt>
                <c:pt idx="50">
                  <c:v>300164.08833333332</c:v>
                </c:pt>
                <c:pt idx="51">
                  <c:v>610164.08833333326</c:v>
                </c:pt>
                <c:pt idx="52">
                  <c:v>300164.08833333332</c:v>
                </c:pt>
                <c:pt idx="53">
                  <c:v>610164.08833333326</c:v>
                </c:pt>
                <c:pt idx="54">
                  <c:v>300164.08833333332</c:v>
                </c:pt>
                <c:pt idx="55">
                  <c:v>610164.08833333326</c:v>
                </c:pt>
                <c:pt idx="56">
                  <c:v>300164.08833333332</c:v>
                </c:pt>
                <c:pt idx="57">
                  <c:v>610164.08833333326</c:v>
                </c:pt>
                <c:pt idx="58">
                  <c:v>300164.08833333332</c:v>
                </c:pt>
                <c:pt idx="59">
                  <c:v>610164.08833333326</c:v>
                </c:pt>
                <c:pt idx="60">
                  <c:v>405164.08833333326</c:v>
                </c:pt>
                <c:pt idx="61">
                  <c:v>610164.08833333326</c:v>
                </c:pt>
                <c:pt idx="62">
                  <c:v>300164.08833333332</c:v>
                </c:pt>
                <c:pt idx="63">
                  <c:v>610164.08833333326</c:v>
                </c:pt>
                <c:pt idx="64">
                  <c:v>300164.08833333332</c:v>
                </c:pt>
                <c:pt idx="65">
                  <c:v>610164.08833333326</c:v>
                </c:pt>
                <c:pt idx="66">
                  <c:v>300164.08833333332</c:v>
                </c:pt>
                <c:pt idx="67">
                  <c:v>610164.08833333326</c:v>
                </c:pt>
                <c:pt idx="68">
                  <c:v>300164.08833333332</c:v>
                </c:pt>
                <c:pt idx="69">
                  <c:v>610164.08833333326</c:v>
                </c:pt>
                <c:pt idx="70">
                  <c:v>300164.08833333332</c:v>
                </c:pt>
                <c:pt idx="71">
                  <c:v>300164.08833333332</c:v>
                </c:pt>
              </c:numCache>
            </c:numRef>
          </c:val>
          <c:extLst>
            <c:ext xmlns:c16="http://schemas.microsoft.com/office/drawing/2014/chart" uri="{C3380CC4-5D6E-409C-BE32-E72D297353CC}">
              <c16:uniqueId val="{00000000-6AD5-4ED3-A2A1-4E5811A4983A}"/>
            </c:ext>
          </c:extLst>
        </c:ser>
        <c:dLbls>
          <c:showLegendKey val="0"/>
          <c:showVal val="1"/>
          <c:showCatName val="0"/>
          <c:showSerName val="0"/>
          <c:showPercent val="0"/>
          <c:showBubbleSize val="0"/>
        </c:dLbls>
        <c:gapWidth val="100"/>
        <c:overlap val="-24"/>
        <c:axId val="1025107600"/>
        <c:axId val="1025089296"/>
      </c:barChart>
      <c:catAx>
        <c:axId val="1025107600"/>
        <c:scaling>
          <c:orientation val="minMax"/>
        </c:scaling>
        <c:delete val="0"/>
        <c:axPos val="b"/>
        <c:majorGridlines>
          <c:spPr>
            <a:ln w="9525" cap="flat" cmpd="sng" algn="ctr">
              <a:solidFill>
                <a:schemeClr val="lt1">
                  <a:lumMod val="95000"/>
                  <a:alpha val="10000"/>
                </a:schemeClr>
              </a:solidFill>
              <a:round/>
            </a:ln>
            <a:effectLst/>
          </c:spPr>
        </c:majorGridlines>
        <c:minorGridlines>
          <c:spPr>
            <a:ln>
              <a:solidFill>
                <a:schemeClr val="lt1">
                  <a:lumMod val="95000"/>
                  <a:alpha val="5000"/>
                </a:schemeClr>
              </a:solidFill>
            </a:ln>
            <a:effectLst/>
          </c:spPr>
        </c:minorGridlines>
        <c:title>
          <c:tx>
            <c:rich>
              <a:bodyPr rot="0" spcFirstLastPara="1" vertOverflow="ellipsis" vert="horz" wrap="square" anchor="ctr" anchorCtr="1"/>
              <a:lstStyle/>
              <a:p>
                <a:pPr algn="ctr" rtl="0">
                  <a:defRPr lang="en-US" sz="1600" b="1" i="0" u="none" strike="noStrike" kern="1200" cap="none" baseline="0">
                    <a:solidFill>
                      <a:sysClr val="window" lastClr="FFFFFF">
                        <a:lumMod val="85000"/>
                      </a:sysClr>
                    </a:solidFill>
                    <a:latin typeface="+mn-lt"/>
                    <a:ea typeface="+mn-ea"/>
                    <a:cs typeface="+mn-cs"/>
                  </a:defRPr>
                </a:pPr>
                <a:r>
                  <a:rPr lang="en-US" sz="1600" b="1" i="0" u="none" strike="noStrike" kern="1200" cap="none" baseline="0">
                    <a:solidFill>
                      <a:sysClr val="window" lastClr="FFFFFF">
                        <a:lumMod val="85000"/>
                      </a:sysClr>
                    </a:solidFill>
                    <a:latin typeface="+mn-lt"/>
                    <a:ea typeface="+mn-ea"/>
                    <a:cs typeface="+mn-cs"/>
                  </a:rPr>
                  <a:t>Months  </a:t>
                </a:r>
              </a:p>
            </c:rich>
          </c:tx>
          <c:layout>
            <c:manualLayout>
              <c:xMode val="edge"/>
              <c:yMode val="edge"/>
              <c:x val="0.48851258413888565"/>
              <c:y val="0.94799683726021344"/>
            </c:manualLayout>
          </c:layout>
          <c:overlay val="0"/>
          <c:spPr>
            <a:noFill/>
            <a:ln>
              <a:noFill/>
            </a:ln>
            <a:effectLst/>
          </c:spPr>
          <c:txPr>
            <a:bodyPr rot="0" spcFirstLastPara="1" vertOverflow="ellipsis" vert="horz" wrap="square" anchor="ctr" anchorCtr="1"/>
            <a:lstStyle/>
            <a:p>
              <a:pPr algn="ctr" rtl="0">
                <a:defRPr lang="en-US" sz="1600" b="1" i="0" u="none" strike="noStrike" kern="1200" cap="none" baseline="0">
                  <a:solidFill>
                    <a:sysClr val="window" lastClr="FFFFFF">
                      <a:lumMod val="85000"/>
                    </a:sysClr>
                  </a:solidFill>
                  <a:latin typeface="+mn-lt"/>
                  <a:ea typeface="+mn-ea"/>
                  <a:cs typeface="+mn-cs"/>
                </a:defRPr>
              </a:pPr>
              <a:endParaRPr lang="en-US"/>
            </a:p>
          </c:txPr>
        </c:title>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025089296"/>
        <c:crosses val="autoZero"/>
        <c:auto val="1"/>
        <c:lblAlgn val="ctr"/>
        <c:lblOffset val="100"/>
        <c:noMultiLvlLbl val="0"/>
      </c:catAx>
      <c:valAx>
        <c:axId val="1025089296"/>
        <c:scaling>
          <c:orientation val="minMax"/>
        </c:scaling>
        <c:delete val="0"/>
        <c:axPos val="l"/>
        <c:majorGridlines>
          <c:spPr>
            <a:ln w="9525" cap="flat" cmpd="sng" algn="ctr">
              <a:solidFill>
                <a:schemeClr val="lt1">
                  <a:lumMod val="95000"/>
                  <a:alpha val="10000"/>
                </a:schemeClr>
              </a:solidFill>
              <a:round/>
            </a:ln>
            <a:effectLst/>
          </c:spPr>
        </c:majorGridlines>
        <c:minorGridlines>
          <c:spPr>
            <a:ln>
              <a:solidFill>
                <a:schemeClr val="lt1">
                  <a:lumMod val="95000"/>
                  <a:alpha val="5000"/>
                </a:schemeClr>
              </a:solidFill>
            </a:ln>
            <a:effectLst/>
          </c:spPr>
        </c:minorGridlines>
        <c:title>
          <c:tx>
            <c:rich>
              <a:bodyPr rot="-5400000" spcFirstLastPara="1" vertOverflow="ellipsis" vert="horz" wrap="square" anchor="ctr" anchorCtr="1"/>
              <a:lstStyle/>
              <a:p>
                <a:pPr>
                  <a:defRPr sz="1600" b="1" i="0" u="none" strike="noStrike" kern="1200" cap="all" baseline="0">
                    <a:solidFill>
                      <a:schemeClr val="lt1">
                        <a:lumMod val="85000"/>
                      </a:schemeClr>
                    </a:solidFill>
                    <a:latin typeface="+mn-lt"/>
                    <a:ea typeface="+mn-ea"/>
                    <a:cs typeface="+mn-cs"/>
                  </a:defRPr>
                </a:pPr>
                <a:r>
                  <a:rPr lang="en-US" sz="1600" cap="none" baseline="0"/>
                  <a:t>Monthly Burn Rate </a:t>
                </a:r>
              </a:p>
            </c:rich>
          </c:tx>
          <c:layout>
            <c:manualLayout>
              <c:xMode val="edge"/>
              <c:yMode val="edge"/>
              <c:x val="9.5117394160133882E-4"/>
              <c:y val="0.30950294910855092"/>
            </c:manualLayout>
          </c:layout>
          <c:overlay val="0"/>
          <c:spPr>
            <a:noFill/>
            <a:ln>
              <a:noFill/>
            </a:ln>
            <a:effectLst/>
          </c:spPr>
          <c:txPr>
            <a:bodyPr rot="-5400000" spcFirstLastPara="1" vertOverflow="ellipsis" vert="horz" wrap="square" anchor="ctr" anchorCtr="1"/>
            <a:lstStyle/>
            <a:p>
              <a:pPr>
                <a:defRPr sz="1600" b="1" i="0" u="none" strike="noStrike" kern="1200" cap="all" baseline="0">
                  <a:solidFill>
                    <a:schemeClr val="lt1">
                      <a:lumMod val="8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0251076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25" r="0.25"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Burn Rate &amp; Sales Revenue Versus Cash Balance </a:t>
            </a:r>
          </a:p>
        </c:rich>
      </c:tx>
      <c:layout>
        <c:manualLayout>
          <c:xMode val="edge"/>
          <c:yMode val="edge"/>
          <c:x val="0.33416169833075499"/>
          <c:y val="7.821371466497723E-3"/>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manualLayout>
          <c:layoutTarget val="inner"/>
          <c:xMode val="edge"/>
          <c:yMode val="edge"/>
          <c:x val="8.0457888438234787E-2"/>
          <c:y val="6.8894161599644094E-2"/>
          <c:w val="0.8436489892405834"/>
          <c:h val="0.7149843123057894"/>
        </c:manualLayout>
      </c:layout>
      <c:barChart>
        <c:barDir val="col"/>
        <c:grouping val="clustered"/>
        <c:varyColors val="0"/>
        <c:ser>
          <c:idx val="0"/>
          <c:order val="0"/>
          <c:tx>
            <c:v>Burn Rate</c:v>
          </c:tx>
          <c:spPr>
            <a:solidFill>
              <a:srgbClr val="FF3F3F"/>
            </a:solidFill>
            <a:ln>
              <a:noFill/>
            </a:ln>
            <a:effectLst>
              <a:outerShdw blurRad="57150" dist="19050" dir="5400000" algn="ctr" rotWithShape="0">
                <a:srgbClr val="000000">
                  <a:alpha val="63000"/>
                </a:srgbClr>
              </a:outerShdw>
            </a:effectLst>
          </c:spPr>
          <c:invertIfNegative val="0"/>
          <c:val>
            <c:numRef>
              <c:f>'Burn Rate'!$G$13:$G$84</c:f>
              <c:numCache>
                <c:formatCode>"$"#,##0</c:formatCode>
                <c:ptCount val="72"/>
                <c:pt idx="0">
                  <c:v>181240.88</c:v>
                </c:pt>
                <c:pt idx="1">
                  <c:v>1326240.8799999999</c:v>
                </c:pt>
                <c:pt idx="2">
                  <c:v>76240.87999999999</c:v>
                </c:pt>
                <c:pt idx="3">
                  <c:v>445762.98333333328</c:v>
                </c:pt>
                <c:pt idx="4">
                  <c:v>1696476.3250000002</c:v>
                </c:pt>
                <c:pt idx="5">
                  <c:v>562976.32499999995</c:v>
                </c:pt>
                <c:pt idx="6">
                  <c:v>427976.32499999995</c:v>
                </c:pt>
                <c:pt idx="7">
                  <c:v>252976.32499999998</c:v>
                </c:pt>
                <c:pt idx="8">
                  <c:v>762664.08833333326</c:v>
                </c:pt>
                <c:pt idx="9">
                  <c:v>337664.08833333332</c:v>
                </c:pt>
                <c:pt idx="10">
                  <c:v>337664.08833333332</c:v>
                </c:pt>
                <c:pt idx="11">
                  <c:v>647664.08833333326</c:v>
                </c:pt>
                <c:pt idx="12">
                  <c:v>617664.08833333326</c:v>
                </c:pt>
                <c:pt idx="13">
                  <c:v>337664.08833333332</c:v>
                </c:pt>
                <c:pt idx="14">
                  <c:v>647664.08833333326</c:v>
                </c:pt>
                <c:pt idx="15">
                  <c:v>337664.08833333332</c:v>
                </c:pt>
                <c:pt idx="16">
                  <c:v>300164.08833333332</c:v>
                </c:pt>
                <c:pt idx="17">
                  <c:v>610164.08833333326</c:v>
                </c:pt>
                <c:pt idx="18">
                  <c:v>300164.08833333332</c:v>
                </c:pt>
                <c:pt idx="19">
                  <c:v>300164.08833333332</c:v>
                </c:pt>
                <c:pt idx="20">
                  <c:v>610164.08833333326</c:v>
                </c:pt>
                <c:pt idx="21">
                  <c:v>300164.08833333332</c:v>
                </c:pt>
                <c:pt idx="22">
                  <c:v>300164.08833333332</c:v>
                </c:pt>
                <c:pt idx="23">
                  <c:v>610164.08833333326</c:v>
                </c:pt>
                <c:pt idx="24">
                  <c:v>405164.08833333326</c:v>
                </c:pt>
                <c:pt idx="25">
                  <c:v>300164.08833333332</c:v>
                </c:pt>
                <c:pt idx="26">
                  <c:v>610164.08833333326</c:v>
                </c:pt>
                <c:pt idx="27">
                  <c:v>300164.08833333332</c:v>
                </c:pt>
                <c:pt idx="28">
                  <c:v>300164.08833333332</c:v>
                </c:pt>
                <c:pt idx="29">
                  <c:v>610164.08833333326</c:v>
                </c:pt>
                <c:pt idx="30">
                  <c:v>300164.08833333332</c:v>
                </c:pt>
                <c:pt idx="31">
                  <c:v>300164.08833333332</c:v>
                </c:pt>
                <c:pt idx="32">
                  <c:v>610164.08833333326</c:v>
                </c:pt>
                <c:pt idx="33">
                  <c:v>300164.08833333332</c:v>
                </c:pt>
                <c:pt idx="34">
                  <c:v>300164.08833333332</c:v>
                </c:pt>
                <c:pt idx="35">
                  <c:v>610164.08833333326</c:v>
                </c:pt>
                <c:pt idx="36">
                  <c:v>405164.08833333326</c:v>
                </c:pt>
                <c:pt idx="37">
                  <c:v>300164.08833333332</c:v>
                </c:pt>
                <c:pt idx="38">
                  <c:v>610164.08833333326</c:v>
                </c:pt>
                <c:pt idx="39">
                  <c:v>300164.08833333332</c:v>
                </c:pt>
                <c:pt idx="40">
                  <c:v>300164.08833333332</c:v>
                </c:pt>
                <c:pt idx="41">
                  <c:v>610164.08833333326</c:v>
                </c:pt>
                <c:pt idx="42">
                  <c:v>300164.08833333332</c:v>
                </c:pt>
                <c:pt idx="43">
                  <c:v>610164.08833333326</c:v>
                </c:pt>
                <c:pt idx="44">
                  <c:v>300164.08833333332</c:v>
                </c:pt>
                <c:pt idx="45">
                  <c:v>610164.08833333326</c:v>
                </c:pt>
                <c:pt idx="46">
                  <c:v>300164.08833333332</c:v>
                </c:pt>
                <c:pt idx="47">
                  <c:v>610164.08833333326</c:v>
                </c:pt>
                <c:pt idx="48">
                  <c:v>405164.08833333326</c:v>
                </c:pt>
                <c:pt idx="49">
                  <c:v>610164.08833333326</c:v>
                </c:pt>
                <c:pt idx="50">
                  <c:v>300164.08833333332</c:v>
                </c:pt>
                <c:pt idx="51">
                  <c:v>610164.08833333326</c:v>
                </c:pt>
                <c:pt idx="52">
                  <c:v>300164.08833333332</c:v>
                </c:pt>
                <c:pt idx="53">
                  <c:v>610164.08833333326</c:v>
                </c:pt>
                <c:pt idx="54">
                  <c:v>300164.08833333332</c:v>
                </c:pt>
                <c:pt idx="55">
                  <c:v>610164.08833333326</c:v>
                </c:pt>
                <c:pt idx="56">
                  <c:v>300164.08833333332</c:v>
                </c:pt>
                <c:pt idx="57">
                  <c:v>610164.08833333326</c:v>
                </c:pt>
                <c:pt idx="58">
                  <c:v>300164.08833333332</c:v>
                </c:pt>
                <c:pt idx="59">
                  <c:v>610164.08833333326</c:v>
                </c:pt>
                <c:pt idx="60">
                  <c:v>405164.08833333326</c:v>
                </c:pt>
                <c:pt idx="61">
                  <c:v>610164.08833333326</c:v>
                </c:pt>
                <c:pt idx="62">
                  <c:v>300164.08833333332</c:v>
                </c:pt>
                <c:pt idx="63">
                  <c:v>610164.08833333326</c:v>
                </c:pt>
                <c:pt idx="64">
                  <c:v>300164.08833333332</c:v>
                </c:pt>
                <c:pt idx="65">
                  <c:v>610164.08833333326</c:v>
                </c:pt>
                <c:pt idx="66">
                  <c:v>300164.08833333332</c:v>
                </c:pt>
                <c:pt idx="67">
                  <c:v>610164.08833333326</c:v>
                </c:pt>
                <c:pt idx="68">
                  <c:v>300164.08833333332</c:v>
                </c:pt>
                <c:pt idx="69">
                  <c:v>610164.08833333326</c:v>
                </c:pt>
                <c:pt idx="70">
                  <c:v>300164.08833333332</c:v>
                </c:pt>
                <c:pt idx="71">
                  <c:v>300164.08833333332</c:v>
                </c:pt>
              </c:numCache>
            </c:numRef>
          </c:val>
          <c:extLst>
            <c:ext xmlns:c16="http://schemas.microsoft.com/office/drawing/2014/chart" uri="{C3380CC4-5D6E-409C-BE32-E72D297353CC}">
              <c16:uniqueId val="{00000000-160E-4CF3-BF61-D8430B98AE2B}"/>
            </c:ext>
          </c:extLst>
        </c:ser>
        <c:ser>
          <c:idx val="1"/>
          <c:order val="1"/>
          <c:tx>
            <c:v>Revenues</c:v>
          </c:tx>
          <c:spPr>
            <a:solidFill>
              <a:srgbClr val="00B050"/>
            </a:solidFill>
            <a:ln>
              <a:noFill/>
            </a:ln>
            <a:effectLst>
              <a:outerShdw blurRad="57150" dist="19050" dir="5400000" algn="ctr" rotWithShape="0">
                <a:srgbClr val="000000">
                  <a:alpha val="63000"/>
                </a:srgbClr>
              </a:outerShdw>
            </a:effectLst>
          </c:spPr>
          <c:invertIfNegative val="0"/>
          <c:val>
            <c:numRef>
              <c:f>'Burn Rate'!$W$13:$W$84</c:f>
              <c:numCache>
                <c:formatCode>"$"#,##0</c:formatCode>
                <c:ptCount val="72"/>
                <c:pt idx="0">
                  <c:v>0</c:v>
                </c:pt>
                <c:pt idx="1">
                  <c:v>0</c:v>
                </c:pt>
                <c:pt idx="2">
                  <c:v>0</c:v>
                </c:pt>
                <c:pt idx="3">
                  <c:v>0</c:v>
                </c:pt>
                <c:pt idx="4">
                  <c:v>0</c:v>
                </c:pt>
                <c:pt idx="5">
                  <c:v>0</c:v>
                </c:pt>
                <c:pt idx="6">
                  <c:v>0</c:v>
                </c:pt>
                <c:pt idx="7">
                  <c:v>0</c:v>
                </c:pt>
                <c:pt idx="8">
                  <c:v>0</c:v>
                </c:pt>
                <c:pt idx="9">
                  <c:v>1428000</c:v>
                </c:pt>
                <c:pt idx="10">
                  <c:v>1428000</c:v>
                </c:pt>
                <c:pt idx="11">
                  <c:v>1904000</c:v>
                </c:pt>
                <c:pt idx="12">
                  <c:v>2380000</c:v>
                </c:pt>
                <c:pt idx="13">
                  <c:v>2380000</c:v>
                </c:pt>
                <c:pt idx="14">
                  <c:v>2380000</c:v>
                </c:pt>
                <c:pt idx="15">
                  <c:v>2380000</c:v>
                </c:pt>
                <c:pt idx="16">
                  <c:v>2380000</c:v>
                </c:pt>
                <c:pt idx="17">
                  <c:v>2380000</c:v>
                </c:pt>
                <c:pt idx="18">
                  <c:v>2380000</c:v>
                </c:pt>
                <c:pt idx="19">
                  <c:v>2380000</c:v>
                </c:pt>
                <c:pt idx="20">
                  <c:v>2380000</c:v>
                </c:pt>
                <c:pt idx="21">
                  <c:v>2380000</c:v>
                </c:pt>
                <c:pt idx="22">
                  <c:v>2380000</c:v>
                </c:pt>
                <c:pt idx="23">
                  <c:v>2380000</c:v>
                </c:pt>
                <c:pt idx="24">
                  <c:v>2380000</c:v>
                </c:pt>
                <c:pt idx="25">
                  <c:v>2380000</c:v>
                </c:pt>
                <c:pt idx="26">
                  <c:v>2380000</c:v>
                </c:pt>
                <c:pt idx="27">
                  <c:v>2380000</c:v>
                </c:pt>
                <c:pt idx="28">
                  <c:v>2380000</c:v>
                </c:pt>
                <c:pt idx="29">
                  <c:v>2380000</c:v>
                </c:pt>
                <c:pt idx="30">
                  <c:v>2380000</c:v>
                </c:pt>
                <c:pt idx="31">
                  <c:v>2380000</c:v>
                </c:pt>
                <c:pt idx="32">
                  <c:v>2380000</c:v>
                </c:pt>
                <c:pt idx="33">
                  <c:v>2380000</c:v>
                </c:pt>
                <c:pt idx="34">
                  <c:v>2380000</c:v>
                </c:pt>
                <c:pt idx="35">
                  <c:v>2380000</c:v>
                </c:pt>
                <c:pt idx="36">
                  <c:v>2380000</c:v>
                </c:pt>
                <c:pt idx="37">
                  <c:v>2380000</c:v>
                </c:pt>
                <c:pt idx="38">
                  <c:v>2380000</c:v>
                </c:pt>
                <c:pt idx="39">
                  <c:v>2380000</c:v>
                </c:pt>
                <c:pt idx="40">
                  <c:v>2380000</c:v>
                </c:pt>
                <c:pt idx="41">
                  <c:v>2380000</c:v>
                </c:pt>
                <c:pt idx="42">
                  <c:v>2380000</c:v>
                </c:pt>
                <c:pt idx="43">
                  <c:v>2380000</c:v>
                </c:pt>
                <c:pt idx="44">
                  <c:v>2380000</c:v>
                </c:pt>
                <c:pt idx="45">
                  <c:v>2380000</c:v>
                </c:pt>
                <c:pt idx="46">
                  <c:v>2380000</c:v>
                </c:pt>
                <c:pt idx="47">
                  <c:v>2380000</c:v>
                </c:pt>
                <c:pt idx="48">
                  <c:v>2380000</c:v>
                </c:pt>
                <c:pt idx="49">
                  <c:v>2380000</c:v>
                </c:pt>
                <c:pt idx="50">
                  <c:v>2380000</c:v>
                </c:pt>
                <c:pt idx="51">
                  <c:v>2380000</c:v>
                </c:pt>
                <c:pt idx="52">
                  <c:v>2380000</c:v>
                </c:pt>
                <c:pt idx="53">
                  <c:v>2380000</c:v>
                </c:pt>
                <c:pt idx="54">
                  <c:v>2380000</c:v>
                </c:pt>
                <c:pt idx="55">
                  <c:v>2380000</c:v>
                </c:pt>
                <c:pt idx="56">
                  <c:v>2380000</c:v>
                </c:pt>
                <c:pt idx="57">
                  <c:v>2380000</c:v>
                </c:pt>
                <c:pt idx="58">
                  <c:v>2380000</c:v>
                </c:pt>
                <c:pt idx="59">
                  <c:v>2380000</c:v>
                </c:pt>
                <c:pt idx="60">
                  <c:v>2380000</c:v>
                </c:pt>
                <c:pt idx="61">
                  <c:v>2380000</c:v>
                </c:pt>
                <c:pt idx="62">
                  <c:v>2380000</c:v>
                </c:pt>
                <c:pt idx="63">
                  <c:v>2380000</c:v>
                </c:pt>
                <c:pt idx="64">
                  <c:v>2380000</c:v>
                </c:pt>
                <c:pt idx="65">
                  <c:v>2380000</c:v>
                </c:pt>
                <c:pt idx="66">
                  <c:v>2380000</c:v>
                </c:pt>
                <c:pt idx="67">
                  <c:v>2380000</c:v>
                </c:pt>
                <c:pt idx="68">
                  <c:v>2380000</c:v>
                </c:pt>
                <c:pt idx="69">
                  <c:v>2380000</c:v>
                </c:pt>
                <c:pt idx="70">
                  <c:v>2380000</c:v>
                </c:pt>
                <c:pt idx="71">
                  <c:v>2380000</c:v>
                </c:pt>
              </c:numCache>
            </c:numRef>
          </c:val>
          <c:extLst>
            <c:ext xmlns:c16="http://schemas.microsoft.com/office/drawing/2014/chart" uri="{C3380CC4-5D6E-409C-BE32-E72D297353CC}">
              <c16:uniqueId val="{00000001-160E-4CF3-BF61-D8430B98AE2B}"/>
            </c:ext>
          </c:extLst>
        </c:ser>
        <c:dLbls>
          <c:showLegendKey val="0"/>
          <c:showVal val="0"/>
          <c:showCatName val="0"/>
          <c:showSerName val="0"/>
          <c:showPercent val="0"/>
          <c:showBubbleSize val="0"/>
        </c:dLbls>
        <c:gapWidth val="150"/>
        <c:axId val="1025107600"/>
        <c:axId val="1025089296"/>
      </c:barChart>
      <c:lineChart>
        <c:grouping val="standard"/>
        <c:varyColors val="0"/>
        <c:ser>
          <c:idx val="2"/>
          <c:order val="2"/>
          <c:tx>
            <c:v>Cash Balance</c:v>
          </c:tx>
          <c:spPr>
            <a:ln w="34925" cap="rnd">
              <a:solidFill>
                <a:schemeClr val="accent3"/>
              </a:solidFill>
              <a:round/>
            </a:ln>
            <a:effectLst>
              <a:outerShdw blurRad="57150" dist="19050" dir="5400000" algn="ctr" rotWithShape="0">
                <a:srgbClr val="000000">
                  <a:alpha val="63000"/>
                </a:srgbClr>
              </a:outerShdw>
            </a:effectLst>
          </c:spPr>
          <c:marker>
            <c:symbol val="none"/>
          </c:marker>
          <c:val>
            <c:numRef>
              <c:f>'Burn Rate'!$X$13:$X$84</c:f>
              <c:numCache>
                <c:formatCode>"$"#,##0</c:formatCode>
                <c:ptCount val="72"/>
                <c:pt idx="0">
                  <c:v>5818759.1200000001</c:v>
                </c:pt>
                <c:pt idx="1">
                  <c:v>4492518.24</c:v>
                </c:pt>
                <c:pt idx="2">
                  <c:v>4416277.3600000003</c:v>
                </c:pt>
                <c:pt idx="3">
                  <c:v>3970514.3766666669</c:v>
                </c:pt>
                <c:pt idx="4">
                  <c:v>2274038.0516666668</c:v>
                </c:pt>
                <c:pt idx="5">
                  <c:v>1711061.7266666668</c:v>
                </c:pt>
                <c:pt idx="6">
                  <c:v>1283085.4016666668</c:v>
                </c:pt>
                <c:pt idx="7">
                  <c:v>1030109.0766666669</c:v>
                </c:pt>
                <c:pt idx="8">
                  <c:v>267444.98833333363</c:v>
                </c:pt>
                <c:pt idx="9">
                  <c:v>803380.90000000037</c:v>
                </c:pt>
                <c:pt idx="10">
                  <c:v>1339316.811666667</c:v>
                </c:pt>
                <c:pt idx="11">
                  <c:v>1856452.7233333336</c:v>
                </c:pt>
                <c:pt idx="12">
                  <c:v>3618788.6350000002</c:v>
                </c:pt>
                <c:pt idx="13">
                  <c:v>5661124.5466666669</c:v>
                </c:pt>
                <c:pt idx="14">
                  <c:v>7393460.458333334</c:v>
                </c:pt>
                <c:pt idx="15">
                  <c:v>9435796.370000001</c:v>
                </c:pt>
                <c:pt idx="16">
                  <c:v>11515632.281666668</c:v>
                </c:pt>
                <c:pt idx="17">
                  <c:v>13285468.193333335</c:v>
                </c:pt>
                <c:pt idx="18">
                  <c:v>15365304.105000002</c:v>
                </c:pt>
                <c:pt idx="19">
                  <c:v>17445140.016666669</c:v>
                </c:pt>
                <c:pt idx="20">
                  <c:v>19214975.928333335</c:v>
                </c:pt>
                <c:pt idx="21">
                  <c:v>21294811.84</c:v>
                </c:pt>
                <c:pt idx="22">
                  <c:v>23374647.751666665</c:v>
                </c:pt>
                <c:pt idx="23">
                  <c:v>25144483.66333333</c:v>
                </c:pt>
                <c:pt idx="24">
                  <c:v>27119319.574999996</c:v>
                </c:pt>
                <c:pt idx="25">
                  <c:v>29199155.486666661</c:v>
                </c:pt>
                <c:pt idx="26">
                  <c:v>30968991.398333326</c:v>
                </c:pt>
                <c:pt idx="27">
                  <c:v>33048827.309999991</c:v>
                </c:pt>
                <c:pt idx="28">
                  <c:v>35128663.221666656</c:v>
                </c:pt>
                <c:pt idx="29">
                  <c:v>36898499.133333325</c:v>
                </c:pt>
                <c:pt idx="30">
                  <c:v>38978335.044999994</c:v>
                </c:pt>
                <c:pt idx="31">
                  <c:v>41058170.956666663</c:v>
                </c:pt>
                <c:pt idx="32">
                  <c:v>42828006.868333332</c:v>
                </c:pt>
                <c:pt idx="33">
                  <c:v>44907842.780000001</c:v>
                </c:pt>
                <c:pt idx="34">
                  <c:v>46987678.69166667</c:v>
                </c:pt>
                <c:pt idx="35">
                  <c:v>48757514.603333339</c:v>
                </c:pt>
                <c:pt idx="36">
                  <c:v>50732350.515000008</c:v>
                </c:pt>
                <c:pt idx="37">
                  <c:v>52812186.426666677</c:v>
                </c:pt>
                <c:pt idx="38">
                  <c:v>54582022.338333346</c:v>
                </c:pt>
                <c:pt idx="39">
                  <c:v>56661858.250000015</c:v>
                </c:pt>
                <c:pt idx="40">
                  <c:v>58741694.161666684</c:v>
                </c:pt>
                <c:pt idx="41">
                  <c:v>60511530.073333353</c:v>
                </c:pt>
                <c:pt idx="42">
                  <c:v>62591365.985000022</c:v>
                </c:pt>
                <c:pt idx="43">
                  <c:v>64361201.896666691</c:v>
                </c:pt>
                <c:pt idx="44">
                  <c:v>66441037.80833336</c:v>
                </c:pt>
                <c:pt idx="45">
                  <c:v>68210873.720000029</c:v>
                </c:pt>
                <c:pt idx="46">
                  <c:v>70290709.63166669</c:v>
                </c:pt>
                <c:pt idx="47">
                  <c:v>72060545.543333352</c:v>
                </c:pt>
                <c:pt idx="48">
                  <c:v>74035381.455000013</c:v>
                </c:pt>
                <c:pt idx="49">
                  <c:v>75805217.366666675</c:v>
                </c:pt>
                <c:pt idx="50">
                  <c:v>77885053.278333336</c:v>
                </c:pt>
                <c:pt idx="51">
                  <c:v>79654889.189999998</c:v>
                </c:pt>
                <c:pt idx="52">
                  <c:v>81734725.101666659</c:v>
                </c:pt>
                <c:pt idx="53">
                  <c:v>83504561.013333321</c:v>
                </c:pt>
                <c:pt idx="54">
                  <c:v>85584396.924999982</c:v>
                </c:pt>
                <c:pt idx="55">
                  <c:v>87354232.836666644</c:v>
                </c:pt>
                <c:pt idx="56">
                  <c:v>89434068.748333305</c:v>
                </c:pt>
                <c:pt idx="57">
                  <c:v>91203904.659999967</c:v>
                </c:pt>
                <c:pt idx="58">
                  <c:v>93283740.571666628</c:v>
                </c:pt>
                <c:pt idx="59">
                  <c:v>95053576.48333329</c:v>
                </c:pt>
                <c:pt idx="60">
                  <c:v>97028412.394999951</c:v>
                </c:pt>
                <c:pt idx="61">
                  <c:v>98798248.306666613</c:v>
                </c:pt>
                <c:pt idx="62">
                  <c:v>100878084.21833327</c:v>
                </c:pt>
                <c:pt idx="63">
                  <c:v>102647920.12999994</c:v>
                </c:pt>
                <c:pt idx="64">
                  <c:v>104727756.0416666</c:v>
                </c:pt>
                <c:pt idx="65">
                  <c:v>106497591.95333326</c:v>
                </c:pt>
                <c:pt idx="66">
                  <c:v>108577427.86499992</c:v>
                </c:pt>
                <c:pt idx="67">
                  <c:v>110347263.77666658</c:v>
                </c:pt>
                <c:pt idx="68">
                  <c:v>112427099.68833324</c:v>
                </c:pt>
                <c:pt idx="69">
                  <c:v>114196935.5999999</c:v>
                </c:pt>
                <c:pt idx="70">
                  <c:v>116276771.51166657</c:v>
                </c:pt>
                <c:pt idx="71">
                  <c:v>118356607.42333323</c:v>
                </c:pt>
              </c:numCache>
            </c:numRef>
          </c:val>
          <c:smooth val="0"/>
          <c:extLst>
            <c:ext xmlns:c16="http://schemas.microsoft.com/office/drawing/2014/chart" uri="{C3380CC4-5D6E-409C-BE32-E72D297353CC}">
              <c16:uniqueId val="{00000003-160E-4CF3-BF61-D8430B98AE2B}"/>
            </c:ext>
          </c:extLst>
        </c:ser>
        <c:dLbls>
          <c:showLegendKey val="0"/>
          <c:showVal val="0"/>
          <c:showCatName val="0"/>
          <c:showSerName val="0"/>
          <c:showPercent val="0"/>
          <c:showBubbleSize val="0"/>
        </c:dLbls>
        <c:marker val="1"/>
        <c:smooth val="0"/>
        <c:axId val="2105245103"/>
        <c:axId val="2105242191"/>
      </c:lineChart>
      <c:catAx>
        <c:axId val="1025107600"/>
        <c:scaling>
          <c:orientation val="minMax"/>
        </c:scaling>
        <c:delete val="0"/>
        <c:axPos val="b"/>
        <c:majorGridlines>
          <c:spPr>
            <a:ln w="9525" cap="flat" cmpd="sng" algn="ctr">
              <a:solidFill>
                <a:schemeClr val="lt1">
                  <a:lumMod val="95000"/>
                  <a:alpha val="10000"/>
                </a:schemeClr>
              </a:solidFill>
              <a:round/>
            </a:ln>
            <a:effectLst/>
          </c:spPr>
        </c:majorGridlines>
        <c:minorGridlines>
          <c:spPr>
            <a:ln>
              <a:solidFill>
                <a:schemeClr val="lt1">
                  <a:lumMod val="95000"/>
                  <a:alpha val="5000"/>
                </a:schemeClr>
              </a:solidFill>
            </a:ln>
            <a:effectLst/>
          </c:spPr>
        </c:minorGridlines>
        <c:title>
          <c:tx>
            <c:rich>
              <a:bodyPr rot="0" spcFirstLastPara="1" vertOverflow="ellipsis" vert="horz" wrap="square" anchor="ctr" anchorCtr="1"/>
              <a:lstStyle/>
              <a:p>
                <a:pPr algn="ctr" rtl="0">
                  <a:defRPr lang="en-US" sz="2000" b="1" i="0" u="none" strike="noStrike" kern="1200" cap="none" baseline="0">
                    <a:solidFill>
                      <a:sysClr val="window" lastClr="FFFFFF">
                        <a:lumMod val="85000"/>
                      </a:sysClr>
                    </a:solidFill>
                    <a:latin typeface="+mn-lt"/>
                    <a:ea typeface="+mn-ea"/>
                    <a:cs typeface="+mn-cs"/>
                  </a:defRPr>
                </a:pPr>
                <a:r>
                  <a:rPr lang="en-US" sz="2000" b="1" i="0" u="none" strike="noStrike" kern="1200" cap="none" baseline="0">
                    <a:solidFill>
                      <a:sysClr val="window" lastClr="FFFFFF">
                        <a:lumMod val="85000"/>
                      </a:sysClr>
                    </a:solidFill>
                    <a:latin typeface="+mn-lt"/>
                    <a:ea typeface="+mn-ea"/>
                    <a:cs typeface="+mn-cs"/>
                  </a:rPr>
                  <a:t>Months  </a:t>
                </a:r>
              </a:p>
            </c:rich>
          </c:tx>
          <c:layout>
            <c:manualLayout>
              <c:xMode val="edge"/>
              <c:yMode val="edge"/>
              <c:x val="0.45760749277201279"/>
              <c:y val="0.83828536519142005"/>
            </c:manualLayout>
          </c:layout>
          <c:overlay val="0"/>
          <c:spPr>
            <a:noFill/>
            <a:ln>
              <a:noFill/>
            </a:ln>
            <a:effectLst/>
          </c:spPr>
          <c:txPr>
            <a:bodyPr rot="0" spcFirstLastPara="1" vertOverflow="ellipsis" vert="horz" wrap="square" anchor="ctr" anchorCtr="1"/>
            <a:lstStyle/>
            <a:p>
              <a:pPr algn="ctr" rtl="0">
                <a:defRPr lang="en-US" sz="2000" b="1" i="0" u="none" strike="noStrike" kern="1200" cap="none" baseline="0">
                  <a:solidFill>
                    <a:sysClr val="window" lastClr="FFFFFF">
                      <a:lumMod val="85000"/>
                    </a:sysClr>
                  </a:solidFill>
                  <a:latin typeface="+mn-lt"/>
                  <a:ea typeface="+mn-ea"/>
                  <a:cs typeface="+mn-cs"/>
                </a:defRPr>
              </a:pPr>
              <a:endParaRPr lang="en-US"/>
            </a:p>
          </c:txPr>
        </c:title>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025089296"/>
        <c:crosses val="autoZero"/>
        <c:auto val="1"/>
        <c:lblAlgn val="ctr"/>
        <c:lblOffset val="100"/>
        <c:noMultiLvlLbl val="0"/>
      </c:catAx>
      <c:valAx>
        <c:axId val="1025089296"/>
        <c:scaling>
          <c:orientation val="minMax"/>
        </c:scaling>
        <c:delete val="0"/>
        <c:axPos val="l"/>
        <c:majorGridlines>
          <c:spPr>
            <a:ln w="9525" cap="flat" cmpd="sng" algn="ctr">
              <a:solidFill>
                <a:schemeClr val="lt1">
                  <a:lumMod val="95000"/>
                  <a:alpha val="10000"/>
                </a:schemeClr>
              </a:solidFill>
              <a:round/>
            </a:ln>
            <a:effectLst/>
          </c:spPr>
        </c:majorGridlines>
        <c:minorGridlines>
          <c:spPr>
            <a:ln>
              <a:solidFill>
                <a:schemeClr val="lt1">
                  <a:lumMod val="95000"/>
                  <a:alpha val="5000"/>
                </a:schemeClr>
              </a:solidFill>
            </a:ln>
            <a:effectLst/>
          </c:spPr>
        </c:minorGridlines>
        <c:title>
          <c:tx>
            <c:rich>
              <a:bodyPr rot="-5400000" spcFirstLastPara="1" vertOverflow="ellipsis" vert="horz" wrap="square" anchor="ctr" anchorCtr="1"/>
              <a:lstStyle/>
              <a:p>
                <a:pPr>
                  <a:defRPr sz="900" b="1" i="0" u="none" strike="noStrike" kern="1200" cap="none" baseline="0">
                    <a:solidFill>
                      <a:schemeClr val="lt1">
                        <a:lumMod val="85000"/>
                      </a:schemeClr>
                    </a:solidFill>
                    <a:latin typeface="+mn-lt"/>
                    <a:ea typeface="+mn-ea"/>
                    <a:cs typeface="+mn-cs"/>
                  </a:defRPr>
                </a:pPr>
                <a:r>
                  <a:rPr lang="en-US" sz="2000" cap="none" baseline="0"/>
                  <a:t>Monthly Burn Rate  &amp; Sales Revenue </a:t>
                </a:r>
              </a:p>
            </c:rich>
          </c:tx>
          <c:layout>
            <c:manualLayout>
              <c:xMode val="edge"/>
              <c:yMode val="edge"/>
              <c:x val="1.6403735956846455E-2"/>
              <c:y val="0.15241484900594324"/>
            </c:manualLayout>
          </c:layout>
          <c:overlay val="0"/>
          <c:spPr>
            <a:noFill/>
            <a:ln>
              <a:noFill/>
            </a:ln>
            <a:effectLst/>
          </c:spPr>
          <c:txPr>
            <a:bodyPr rot="-5400000" spcFirstLastPara="1" vertOverflow="ellipsis" vert="horz" wrap="square" anchor="ctr" anchorCtr="1"/>
            <a:lstStyle/>
            <a:p>
              <a:pPr>
                <a:defRPr sz="900" b="1" i="0" u="none" strike="noStrike" kern="1200" cap="none" baseline="0">
                  <a:solidFill>
                    <a:schemeClr val="lt1">
                      <a:lumMod val="8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lt1">
                    <a:lumMod val="85000"/>
                  </a:schemeClr>
                </a:solidFill>
                <a:latin typeface="+mn-lt"/>
                <a:ea typeface="+mn-ea"/>
                <a:cs typeface="+mn-cs"/>
              </a:defRPr>
            </a:pPr>
            <a:endParaRPr lang="en-US"/>
          </a:p>
        </c:txPr>
        <c:crossAx val="1025107600"/>
        <c:crosses val="autoZero"/>
        <c:crossBetween val="between"/>
      </c:valAx>
      <c:valAx>
        <c:axId val="2105242191"/>
        <c:scaling>
          <c:orientation val="minMax"/>
        </c:scaling>
        <c:delete val="0"/>
        <c:axPos val="r"/>
        <c:majorGridlines>
          <c:spPr>
            <a:ln w="9525" cap="flat" cmpd="sng" algn="ctr">
              <a:solidFill>
                <a:schemeClr val="lt1">
                  <a:lumMod val="95000"/>
                  <a:alpha val="10000"/>
                </a:schemeClr>
              </a:solidFill>
              <a:round/>
            </a:ln>
            <a:effectLst/>
          </c:spPr>
        </c:majorGridlines>
        <c:minorGridlines>
          <c:spPr>
            <a:ln>
              <a:solidFill>
                <a:schemeClr val="lt1">
                  <a:lumMod val="95000"/>
                  <a:alpha val="5000"/>
                </a:schemeClr>
              </a:solidFill>
            </a:ln>
            <a:effectLst/>
          </c:spPr>
        </c:minorGridlines>
        <c:title>
          <c:tx>
            <c:rich>
              <a:bodyPr rot="-5400000" spcFirstLastPara="1" vertOverflow="ellipsis" vert="horz" wrap="square" anchor="ctr" anchorCtr="1"/>
              <a:lstStyle/>
              <a:p>
                <a:pPr algn="ctr" rtl="0">
                  <a:defRPr lang="en-US" sz="2000" b="1" i="0" u="none" strike="noStrike" kern="1200" cap="none" baseline="0">
                    <a:solidFill>
                      <a:sysClr val="window" lastClr="FFFFFF">
                        <a:lumMod val="85000"/>
                      </a:sysClr>
                    </a:solidFill>
                    <a:latin typeface="+mn-lt"/>
                    <a:ea typeface="+mn-ea"/>
                    <a:cs typeface="+mn-cs"/>
                  </a:defRPr>
                </a:pPr>
                <a:r>
                  <a:rPr lang="en-US" sz="2000" b="1" i="0" u="none" strike="noStrike" kern="1200" cap="none" baseline="0">
                    <a:solidFill>
                      <a:sysClr val="window" lastClr="FFFFFF">
                        <a:lumMod val="85000"/>
                      </a:sysClr>
                    </a:solidFill>
                    <a:latin typeface="+mn-lt"/>
                    <a:ea typeface="+mn-ea"/>
                    <a:cs typeface="+mn-cs"/>
                  </a:rPr>
                  <a:t>Cash Balance </a:t>
                </a:r>
              </a:p>
            </c:rich>
          </c:tx>
          <c:layout>
            <c:manualLayout>
              <c:xMode val="edge"/>
              <c:yMode val="edge"/>
              <c:x val="0.96952535734357703"/>
              <c:y val="0.34061046248529286"/>
            </c:manualLayout>
          </c:layout>
          <c:overlay val="0"/>
          <c:spPr>
            <a:noFill/>
            <a:ln>
              <a:noFill/>
            </a:ln>
            <a:effectLst/>
          </c:spPr>
          <c:txPr>
            <a:bodyPr rot="-5400000" spcFirstLastPara="1" vertOverflow="ellipsis" vert="horz" wrap="square" anchor="ctr" anchorCtr="1"/>
            <a:lstStyle/>
            <a:p>
              <a:pPr algn="ctr" rtl="0">
                <a:defRPr lang="en-US" sz="2000" b="1" i="0" u="none" strike="noStrike" kern="1200" cap="none" baseline="0">
                  <a:solidFill>
                    <a:sysClr val="window" lastClr="FFFFFF">
                      <a:lumMod val="85000"/>
                    </a:sys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lt1">
                    <a:lumMod val="85000"/>
                  </a:schemeClr>
                </a:solidFill>
                <a:latin typeface="+mn-lt"/>
                <a:ea typeface="+mn-ea"/>
                <a:cs typeface="+mn-cs"/>
              </a:defRPr>
            </a:pPr>
            <a:endParaRPr lang="en-US"/>
          </a:p>
        </c:txPr>
        <c:crossAx val="2105245103"/>
        <c:crosses val="max"/>
        <c:crossBetween val="between"/>
      </c:valAx>
      <c:catAx>
        <c:axId val="2105245103"/>
        <c:scaling>
          <c:orientation val="minMax"/>
        </c:scaling>
        <c:delete val="1"/>
        <c:axPos val="b"/>
        <c:majorGridlines>
          <c:spPr>
            <a:ln w="9525" cap="flat" cmpd="sng" algn="ctr">
              <a:solidFill>
                <a:schemeClr val="lt1">
                  <a:lumMod val="95000"/>
                  <a:alpha val="10000"/>
                </a:schemeClr>
              </a:solidFill>
              <a:round/>
            </a:ln>
            <a:effectLst/>
          </c:spPr>
        </c:majorGridlines>
        <c:minorGridlines>
          <c:spPr>
            <a:ln>
              <a:solidFill>
                <a:schemeClr val="lt1">
                  <a:lumMod val="95000"/>
                  <a:alpha val="5000"/>
                </a:schemeClr>
              </a:solidFill>
            </a:ln>
            <a:effectLst/>
          </c:spPr>
        </c:minorGridlines>
        <c:majorTickMark val="none"/>
        <c:minorTickMark val="none"/>
        <c:tickLblPos val="nextTo"/>
        <c:crossAx val="2105242191"/>
        <c:crosses val="autoZero"/>
        <c:auto val="1"/>
        <c:lblAlgn val="ctr"/>
        <c:lblOffset val="100"/>
        <c:noMultiLvlLbl val="0"/>
      </c:catAx>
      <c:spPr>
        <a:noFill/>
        <a:ln>
          <a:noFill/>
        </a:ln>
        <a:effectLst/>
      </c:spPr>
    </c:plotArea>
    <c:legend>
      <c:legendPos val="b"/>
      <c:layout>
        <c:manualLayout>
          <c:xMode val="edge"/>
          <c:yMode val="edge"/>
          <c:x val="0.56722233433823421"/>
          <c:y val="0.90636950553594597"/>
          <c:w val="0.36071971689450577"/>
          <c:h val="5.31708751923251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25" r="0.25"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Scroll" dx="22" fmlaLink="$R$9" horiz="1" max="100" min="1" page="0"/>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4CBDFE5-6695-4C77-8BD9-9C34B10B1DA6}" type="doc">
      <dgm:prSet loTypeId="urn:microsoft.com/office/officeart/2005/8/layout/orgChart1" loCatId="hierarchy" qsTypeId="urn:microsoft.com/office/officeart/2005/8/quickstyle/simple1" qsCatId="simple" csTypeId="urn:microsoft.com/office/officeart/2005/8/colors/accent1_2" csCatId="accent1" phldr="1"/>
      <dgm:spPr/>
      <dgm:t>
        <a:bodyPr/>
        <a:lstStyle/>
        <a:p>
          <a:endParaRPr lang="en-US"/>
        </a:p>
      </dgm:t>
    </dgm:pt>
    <dgm:pt modelId="{4835F541-6F80-4BAC-A101-42BCAA22D4CF}">
      <dgm:prSet phldrT="[Text]" custT="1"/>
      <dgm:spPr>
        <a:solidFill>
          <a:srgbClr val="70AD47">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Board of Directors (8)</a:t>
          </a:r>
        </a:p>
      </dgm:t>
    </dgm:pt>
    <dgm:pt modelId="{2562934D-891F-4502-98FF-DDAA7059AA51}" type="parTrans" cxnId="{4072CACB-AA2D-40AF-8086-BAFF469A385B}">
      <dgm:prSet/>
      <dgm:spPr/>
      <dgm:t>
        <a:bodyPr/>
        <a:lstStyle/>
        <a:p>
          <a:endParaRPr lang="en-US"/>
        </a:p>
      </dgm:t>
    </dgm:pt>
    <dgm:pt modelId="{8DB434B8-8CE3-43B7-B865-C6FBC5554AB0}" type="sibTrans" cxnId="{4072CACB-AA2D-40AF-8086-BAFF469A385B}">
      <dgm:prSet/>
      <dgm:spPr>
        <a:solidFill>
          <a:schemeClr val="accent1">
            <a:alpha val="90000"/>
          </a:schemeClr>
        </a:solidFill>
      </dgm:spPr>
      <dgm:t>
        <a:bodyPr/>
        <a:lstStyle/>
        <a:p>
          <a:endParaRPr lang="en-US"/>
        </a:p>
      </dgm:t>
    </dgm:pt>
    <dgm:pt modelId="{2DC7BEEA-984E-4BA9-A348-A2FD06B09A24}"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CEO</a:t>
          </a:r>
        </a:p>
      </dgm:t>
    </dgm:pt>
    <dgm:pt modelId="{79BF5173-552E-402D-8FAC-186547F278D5}" type="parTrans" cxnId="{E7D5A695-4A5D-45E2-ABF4-DF270B97EA03}">
      <dgm:prSet/>
      <dgm:spPr/>
      <dgm:t>
        <a:bodyPr/>
        <a:lstStyle/>
        <a:p>
          <a:endParaRPr lang="en-US"/>
        </a:p>
      </dgm:t>
    </dgm:pt>
    <dgm:pt modelId="{0A162669-9208-4FE0-9FF5-1D23FB5A42CA}" type="sibTrans" cxnId="{E7D5A695-4A5D-45E2-ABF4-DF270B97EA03}">
      <dgm:prSet/>
      <dgm:spPr>
        <a:solidFill>
          <a:schemeClr val="accent1">
            <a:alpha val="90000"/>
          </a:schemeClr>
        </a:solidFill>
      </dgm:spPr>
      <dgm:t>
        <a:bodyPr/>
        <a:lstStyle/>
        <a:p>
          <a:endParaRPr lang="en-US"/>
        </a:p>
      </dgm:t>
    </dgm:pt>
    <dgm:pt modelId="{203E615F-5C7B-44F4-8713-195F604AC0EE}" type="asst">
      <dgm:prSet phldrT="[Text]" custT="1"/>
      <dgm:spPr>
        <a:solidFill>
          <a:schemeClr val="accent4">
            <a:lumMod val="75000"/>
          </a:schemeClr>
        </a:solidFill>
      </dgm:spPr>
      <dgm:t>
        <a:bodyPr/>
        <a:lstStyle/>
        <a:p>
          <a:r>
            <a:rPr lang="en-US" sz="1000" b="1">
              <a:latin typeface="Aptos" panose="020B0004020202020204" pitchFamily="34" charset="0"/>
            </a:rPr>
            <a:t>  President &amp; CTO  </a:t>
          </a:r>
        </a:p>
      </dgm:t>
    </dgm:pt>
    <dgm:pt modelId="{0005CACF-C568-4024-8A74-6141CFCCA451}" type="parTrans" cxnId="{2B6D2D5C-6FCF-4C3E-B4B8-AA7390A9EEAC}">
      <dgm:prSet/>
      <dgm:spPr/>
      <dgm:t>
        <a:bodyPr/>
        <a:lstStyle/>
        <a:p>
          <a:endParaRPr lang="en-US"/>
        </a:p>
      </dgm:t>
    </dgm:pt>
    <dgm:pt modelId="{8FFBA5CD-9F91-44AA-8C40-55EA9AD1779D}" type="sibTrans" cxnId="{2B6D2D5C-6FCF-4C3E-B4B8-AA7390A9EEAC}">
      <dgm:prSet/>
      <dgm:spPr>
        <a:solidFill>
          <a:schemeClr val="accent1">
            <a:alpha val="90000"/>
          </a:schemeClr>
        </a:solidFill>
      </dgm:spPr>
      <dgm:t>
        <a:bodyPr/>
        <a:lstStyle/>
        <a:p>
          <a:endParaRPr lang="en-US"/>
        </a:p>
      </dgm:t>
    </dgm:pt>
    <dgm:pt modelId="{385F8D00-C7F7-4A0C-AE27-995E79EB7EDA}"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COO</a:t>
          </a:r>
        </a:p>
      </dgm:t>
    </dgm:pt>
    <dgm:pt modelId="{090ABDCE-A46B-41F5-A51F-83F635349A6B}" type="parTrans" cxnId="{69E0444A-277C-4400-A96C-002EA94BA2FC}">
      <dgm:prSet/>
      <dgm:spPr/>
      <dgm:t>
        <a:bodyPr/>
        <a:lstStyle/>
        <a:p>
          <a:endParaRPr lang="en-US"/>
        </a:p>
      </dgm:t>
    </dgm:pt>
    <dgm:pt modelId="{D5B14064-13A4-4E9A-8DD8-F3DCF62EE373}" type="sibTrans" cxnId="{69E0444A-277C-4400-A96C-002EA94BA2FC}">
      <dgm:prSet/>
      <dgm:spPr>
        <a:solidFill>
          <a:schemeClr val="accent1">
            <a:alpha val="90000"/>
          </a:schemeClr>
        </a:solidFill>
      </dgm:spPr>
      <dgm:t>
        <a:bodyPr/>
        <a:lstStyle/>
        <a:p>
          <a:endParaRPr lang="en-US"/>
        </a:p>
      </dgm:t>
    </dgm:pt>
    <dgm:pt modelId="{4FE8EBDC-F4E7-4496-AD9B-33B2DD2FE079}"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VP of Engineering</a:t>
          </a:r>
        </a:p>
      </dgm:t>
    </dgm:pt>
    <dgm:pt modelId="{ECD0A62C-09DB-419F-9FD0-54A16E385BDF}" type="parTrans" cxnId="{946128E8-1A71-447D-9EB8-DF4CCFCFFF42}">
      <dgm:prSet/>
      <dgm:spPr/>
      <dgm:t>
        <a:bodyPr/>
        <a:lstStyle/>
        <a:p>
          <a:endParaRPr lang="en-US"/>
        </a:p>
      </dgm:t>
    </dgm:pt>
    <dgm:pt modelId="{35DCF1E6-52BB-40C5-9C44-ACA3044EDB0F}" type="sibTrans" cxnId="{946128E8-1A71-447D-9EB8-DF4CCFCFFF42}">
      <dgm:prSet/>
      <dgm:spPr>
        <a:solidFill>
          <a:schemeClr val="accent1">
            <a:alpha val="90000"/>
          </a:schemeClr>
        </a:solidFill>
      </dgm:spPr>
      <dgm:t>
        <a:bodyPr/>
        <a:lstStyle/>
        <a:p>
          <a:endParaRPr lang="en-US"/>
        </a:p>
      </dgm:t>
    </dgm:pt>
    <dgm:pt modelId="{4459596B-D8E5-4A53-B54E-245CC9EFB7BB}"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Chief Engineer</a:t>
          </a:r>
        </a:p>
      </dgm:t>
    </dgm:pt>
    <dgm:pt modelId="{6AB6B9C6-B1A1-4D80-9023-603557F985C0}" type="parTrans" cxnId="{9A1817CD-1B2D-491F-888B-9F8ECBA5EB05}">
      <dgm:prSet/>
      <dgm:spPr/>
      <dgm:t>
        <a:bodyPr/>
        <a:lstStyle/>
        <a:p>
          <a:endParaRPr lang="en-US"/>
        </a:p>
      </dgm:t>
    </dgm:pt>
    <dgm:pt modelId="{3A0CCC16-CFE1-44C4-BFBA-0CD953269212}" type="sibTrans" cxnId="{9A1817CD-1B2D-491F-888B-9F8ECBA5EB05}">
      <dgm:prSet/>
      <dgm:spPr>
        <a:solidFill>
          <a:schemeClr val="accent1">
            <a:alpha val="90000"/>
          </a:schemeClr>
        </a:solidFill>
      </dgm:spPr>
      <dgm:t>
        <a:bodyPr/>
        <a:lstStyle/>
        <a:p>
          <a:endParaRPr lang="en-US"/>
        </a:p>
      </dgm:t>
    </dgm:pt>
    <dgm:pt modelId="{878101BB-0A62-4322-8176-4241DEB06C39}" type="asst">
      <dgm:prSet phldrT="[Text]" custT="1"/>
      <dgm:spPr>
        <a:solidFill>
          <a:srgbClr val="ED7D31">
            <a:lumMod val="40000"/>
            <a:lumOff val="60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r>
            <a:rPr lang="en-US" sz="1000" b="1" u="sng">
              <a:solidFill>
                <a:schemeClr val="tx1"/>
              </a:solidFill>
              <a:latin typeface="Aptos" panose="020B0004020202020204" pitchFamily="34" charset="0"/>
            </a:rPr>
            <a:t>R&amp;D Staff</a:t>
          </a:r>
        </a:p>
        <a:p>
          <a:r>
            <a:rPr lang="en-US" sz="1000" b="1">
              <a:solidFill>
                <a:schemeClr val="tx1"/>
              </a:solidFill>
              <a:latin typeface="Aptos" panose="020B0004020202020204" pitchFamily="34" charset="0"/>
            </a:rPr>
            <a:t>Prototyping &amp; 5-Stroke Engine Development</a:t>
          </a:r>
        </a:p>
      </dgm:t>
    </dgm:pt>
    <dgm:pt modelId="{E96FED3F-6D9A-425B-AAAF-493C81BE085B}" type="parTrans" cxnId="{AD6D2707-368D-4FA4-B136-CECF3EB3AB30}">
      <dgm:prSet/>
      <dgm:spPr/>
      <dgm:t>
        <a:bodyPr/>
        <a:lstStyle/>
        <a:p>
          <a:endParaRPr lang="en-US"/>
        </a:p>
      </dgm:t>
    </dgm:pt>
    <dgm:pt modelId="{7E34C553-FC5A-488A-A768-289B656C0BBE}" type="sibTrans" cxnId="{AD6D2707-368D-4FA4-B136-CECF3EB3AB30}">
      <dgm:prSet/>
      <dgm:spPr/>
      <dgm:t>
        <a:bodyPr/>
        <a:lstStyle/>
        <a:p>
          <a:endParaRPr lang="en-US"/>
        </a:p>
      </dgm:t>
    </dgm:pt>
    <dgm:pt modelId="{F4592B1A-CED5-44A5-BE0A-9CA89A900E0B}"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Manufacturing Manager</a:t>
          </a:r>
        </a:p>
      </dgm:t>
    </dgm:pt>
    <dgm:pt modelId="{EDD9E9A7-5ED0-4942-B295-F0243AA58834}" type="parTrans" cxnId="{B5DC735F-6ACD-4755-9C6A-55F18A433F07}">
      <dgm:prSet/>
      <dgm:spPr/>
      <dgm:t>
        <a:bodyPr/>
        <a:lstStyle/>
        <a:p>
          <a:endParaRPr lang="en-US"/>
        </a:p>
      </dgm:t>
    </dgm:pt>
    <dgm:pt modelId="{CCC6375D-772A-4218-9909-CABFAF811923}" type="sibTrans" cxnId="{B5DC735F-6ACD-4755-9C6A-55F18A433F07}">
      <dgm:prSet/>
      <dgm:spPr/>
      <dgm:t>
        <a:bodyPr/>
        <a:lstStyle/>
        <a:p>
          <a:endParaRPr lang="en-US"/>
        </a:p>
      </dgm:t>
    </dgm:pt>
    <dgm:pt modelId="{34272F97-9966-4D22-A40E-E6000C3CE4E7}" type="asst">
      <dgm:prSet phldrT="[Text]" custT="1"/>
      <dgm:spPr>
        <a:solidFill>
          <a:srgbClr val="ED7D31">
            <a:lumMod val="40000"/>
            <a:lumOff val="60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Text" lastClr="000000"/>
              </a:solidFill>
              <a:latin typeface="Aptos" panose="020B0004020202020204" pitchFamily="34" charset="0"/>
              <a:ea typeface="+mn-ea"/>
              <a:cs typeface="+mn-cs"/>
            </a:rPr>
            <a:t>Manufacturing Staff</a:t>
          </a:r>
        </a:p>
        <a:p>
          <a:pPr marL="0" lvl="0" indent="0" algn="ctr" defTabSz="444500">
            <a:lnSpc>
              <a:spcPct val="90000"/>
            </a:lnSpc>
            <a:spcBef>
              <a:spcPct val="0"/>
            </a:spcBef>
            <a:spcAft>
              <a:spcPct val="35000"/>
            </a:spcAft>
            <a:buNone/>
          </a:pPr>
          <a:r>
            <a:rPr lang="en-US" sz="1000" b="1" kern="1200">
              <a:solidFill>
                <a:sysClr val="windowText" lastClr="000000"/>
              </a:solidFill>
              <a:latin typeface="Aptos" panose="020B0004020202020204" pitchFamily="34" charset="0"/>
              <a:ea typeface="+mn-ea"/>
              <a:cs typeface="+mn-cs"/>
            </a:rPr>
            <a:t>per Production Line</a:t>
          </a:r>
        </a:p>
      </dgm:t>
    </dgm:pt>
    <dgm:pt modelId="{156B12F6-6B82-4B4A-B82A-CE3C4D11E9C2}" type="parTrans" cxnId="{F08780DF-F44E-4CB0-AB31-6378993F311F}">
      <dgm:prSet/>
      <dgm:spPr/>
      <dgm:t>
        <a:bodyPr/>
        <a:lstStyle/>
        <a:p>
          <a:endParaRPr lang="en-US"/>
        </a:p>
      </dgm:t>
    </dgm:pt>
    <dgm:pt modelId="{7803803F-481E-4C41-A5AF-807C84A0017A}" type="sibTrans" cxnId="{F08780DF-F44E-4CB0-AB31-6378993F311F}">
      <dgm:prSet/>
      <dgm:spPr/>
      <dgm:t>
        <a:bodyPr/>
        <a:lstStyle/>
        <a:p>
          <a:endParaRPr lang="en-US"/>
        </a:p>
      </dgm:t>
    </dgm:pt>
    <dgm:pt modelId="{90373C00-5E68-47AA-9F3F-10343E9F83F6}" type="asst">
      <dgm:prSet phldrT="[Text]" custT="1"/>
      <dgm:spPr>
        <a:solidFill>
          <a:srgbClr val="ED7D31">
            <a:lumMod val="40000"/>
            <a:lumOff val="60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Text" lastClr="000000"/>
              </a:solidFill>
              <a:latin typeface="Aptos" panose="020B0004020202020204" pitchFamily="34" charset="0"/>
              <a:ea typeface="+mn-ea"/>
              <a:cs typeface="+mn-cs"/>
            </a:rPr>
            <a:t>IP Management</a:t>
          </a:r>
        </a:p>
        <a:p>
          <a:pPr marL="0" lvl="0" indent="0" algn="ctr" defTabSz="444500">
            <a:lnSpc>
              <a:spcPct val="90000"/>
            </a:lnSpc>
            <a:spcBef>
              <a:spcPct val="0"/>
            </a:spcBef>
            <a:spcAft>
              <a:spcPct val="35000"/>
            </a:spcAft>
            <a:buNone/>
          </a:pPr>
          <a:r>
            <a:rPr lang="en-US" sz="1000" b="1" kern="1200">
              <a:solidFill>
                <a:sysClr val="windowText" lastClr="000000"/>
              </a:solidFill>
              <a:latin typeface="Aptos" panose="020B0004020202020204" pitchFamily="34" charset="0"/>
              <a:ea typeface="+mn-ea"/>
              <a:cs typeface="+mn-cs"/>
            </a:rPr>
            <a:t>(Contract) with Patent Attorney</a:t>
          </a:r>
        </a:p>
      </dgm:t>
    </dgm:pt>
    <dgm:pt modelId="{AB606A84-92C2-4617-8DD1-B1B6F2E0E7F5}" type="parTrans" cxnId="{927B4EBA-61B7-42DD-9B26-41561441F827}">
      <dgm:prSet/>
      <dgm:spPr/>
      <dgm:t>
        <a:bodyPr/>
        <a:lstStyle/>
        <a:p>
          <a:endParaRPr lang="en-US"/>
        </a:p>
      </dgm:t>
    </dgm:pt>
    <dgm:pt modelId="{AB933364-1C90-4800-8A5B-E8BDDCB5AA7C}" type="sibTrans" cxnId="{927B4EBA-61B7-42DD-9B26-41561441F827}">
      <dgm:prSet/>
      <dgm:spPr/>
      <dgm:t>
        <a:bodyPr/>
        <a:lstStyle/>
        <a:p>
          <a:endParaRPr lang="en-US"/>
        </a:p>
      </dgm:t>
    </dgm:pt>
    <dgm:pt modelId="{339DCD3A-2317-4FE7-BE0E-5495A5C870F7}"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Office Manager</a:t>
          </a:r>
        </a:p>
      </dgm:t>
    </dgm:pt>
    <dgm:pt modelId="{7BBBDE84-C6AF-4F36-A3B6-F147AC908D28}" type="parTrans" cxnId="{3C0275C2-B304-4686-AB91-3AEEE1ABCF47}">
      <dgm:prSet/>
      <dgm:spPr/>
      <dgm:t>
        <a:bodyPr/>
        <a:lstStyle/>
        <a:p>
          <a:endParaRPr lang="en-US"/>
        </a:p>
      </dgm:t>
    </dgm:pt>
    <dgm:pt modelId="{92EADC76-42EE-4A18-B8B0-C026FE00BC56}" type="sibTrans" cxnId="{3C0275C2-B304-4686-AB91-3AEEE1ABCF47}">
      <dgm:prSet/>
      <dgm:spPr/>
      <dgm:t>
        <a:bodyPr/>
        <a:lstStyle/>
        <a:p>
          <a:endParaRPr lang="en-US"/>
        </a:p>
      </dgm:t>
    </dgm:pt>
    <dgm:pt modelId="{1507EA25-95CD-4438-8129-97A51621F326}" type="asst">
      <dgm:prSet phldrT="[Text]" custT="1"/>
      <dgm:spPr>
        <a:solidFill>
          <a:srgbClr val="ED7D31">
            <a:lumMod val="40000"/>
            <a:lumOff val="60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Text" lastClr="000000"/>
              </a:solidFill>
              <a:latin typeface="Aptos" panose="020B0004020202020204" pitchFamily="34" charset="0"/>
              <a:ea typeface="+mn-ea"/>
              <a:cs typeface="+mn-cs"/>
            </a:rPr>
            <a:t>HR &amp; Payroll Services Management</a:t>
          </a:r>
        </a:p>
      </dgm:t>
    </dgm:pt>
    <dgm:pt modelId="{AEA9822A-1CAA-4BB5-8884-592FBA41FE65}" type="parTrans" cxnId="{486AE9D8-9D86-455C-959B-50FF3FBF0046}">
      <dgm:prSet/>
      <dgm:spPr/>
      <dgm:t>
        <a:bodyPr/>
        <a:lstStyle/>
        <a:p>
          <a:endParaRPr lang="en-US"/>
        </a:p>
      </dgm:t>
    </dgm:pt>
    <dgm:pt modelId="{F89515C4-9AB2-4E44-8489-91801A7901FB}" type="sibTrans" cxnId="{486AE9D8-9D86-455C-959B-50FF3FBF0046}">
      <dgm:prSet/>
      <dgm:spPr/>
      <dgm:t>
        <a:bodyPr/>
        <a:lstStyle/>
        <a:p>
          <a:endParaRPr lang="en-US"/>
        </a:p>
      </dgm:t>
    </dgm:pt>
    <dgm:pt modelId="{2E5C14C2-E375-4531-A197-30A2CA41B2EE}"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CAD Engineer</a:t>
          </a:r>
        </a:p>
      </dgm:t>
    </dgm:pt>
    <dgm:pt modelId="{D680A8EE-389D-4548-92C3-30753F8016CC}" type="parTrans" cxnId="{B74983D3-2985-4A8B-A8CB-E4DAA2CF2B67}">
      <dgm:prSet/>
      <dgm:spPr/>
      <dgm:t>
        <a:bodyPr/>
        <a:lstStyle/>
        <a:p>
          <a:endParaRPr lang="en-US"/>
        </a:p>
      </dgm:t>
    </dgm:pt>
    <dgm:pt modelId="{0E41B574-6890-421D-B266-C040190F8FCB}" type="sibTrans" cxnId="{B74983D3-2985-4A8B-A8CB-E4DAA2CF2B67}">
      <dgm:prSet/>
      <dgm:spPr/>
      <dgm:t>
        <a:bodyPr/>
        <a:lstStyle/>
        <a:p>
          <a:endParaRPr lang="en-US"/>
        </a:p>
      </dgm:t>
    </dgm:pt>
    <dgm:pt modelId="{D55D665C-FF11-40CE-8C95-0D5F3312BD53}"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General Mechanic</a:t>
          </a:r>
        </a:p>
      </dgm:t>
    </dgm:pt>
    <dgm:pt modelId="{FFA56A28-B0FC-4C2A-AAF4-DA9AFCEE6988}" type="parTrans" cxnId="{BBCF7F97-23B3-42B6-8BBA-405E4B6477E4}">
      <dgm:prSet/>
      <dgm:spPr/>
      <dgm:t>
        <a:bodyPr/>
        <a:lstStyle/>
        <a:p>
          <a:endParaRPr lang="en-US"/>
        </a:p>
      </dgm:t>
    </dgm:pt>
    <dgm:pt modelId="{6DC9603F-1E74-490F-B4E8-9F82B264A33A}" type="sibTrans" cxnId="{BBCF7F97-23B3-42B6-8BBA-405E4B6477E4}">
      <dgm:prSet/>
      <dgm:spPr/>
      <dgm:t>
        <a:bodyPr/>
        <a:lstStyle/>
        <a:p>
          <a:endParaRPr lang="en-US"/>
        </a:p>
      </dgm:t>
    </dgm:pt>
    <dgm:pt modelId="{9A8C22D6-3A74-4045-B2C0-DD4CD64947BB}"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General Mechanic </a:t>
          </a:r>
        </a:p>
      </dgm:t>
    </dgm:pt>
    <dgm:pt modelId="{247E7DB7-F6F2-4971-9520-91E25966EF30}" type="parTrans" cxnId="{73F28605-F536-4C09-9D7F-EC4474700068}">
      <dgm:prSet/>
      <dgm:spPr/>
      <dgm:t>
        <a:bodyPr/>
        <a:lstStyle/>
        <a:p>
          <a:endParaRPr lang="en-US"/>
        </a:p>
      </dgm:t>
    </dgm:pt>
    <dgm:pt modelId="{8DAAD2BB-34E3-432F-B74B-731984AFC0D5}" type="sibTrans" cxnId="{73F28605-F536-4C09-9D7F-EC4474700068}">
      <dgm:prSet/>
      <dgm:spPr/>
      <dgm:t>
        <a:bodyPr/>
        <a:lstStyle/>
        <a:p>
          <a:endParaRPr lang="en-US"/>
        </a:p>
      </dgm:t>
    </dgm:pt>
    <dgm:pt modelId="{D14D54B2-3519-4DAA-9CFD-D2B70E35671F}"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Power Plant Technician</a:t>
          </a:r>
        </a:p>
      </dgm:t>
    </dgm:pt>
    <dgm:pt modelId="{9152086F-4EAD-4F36-9B80-645A4E65466C}" type="parTrans" cxnId="{657FCCF0-4D56-43D7-BFB3-724333F8CA45}">
      <dgm:prSet/>
      <dgm:spPr/>
      <dgm:t>
        <a:bodyPr/>
        <a:lstStyle/>
        <a:p>
          <a:endParaRPr lang="en-US"/>
        </a:p>
      </dgm:t>
    </dgm:pt>
    <dgm:pt modelId="{DAB75EA0-1F36-4AEE-8147-7C509F9EE61B}" type="sibTrans" cxnId="{657FCCF0-4D56-43D7-BFB3-724333F8CA45}">
      <dgm:prSet/>
      <dgm:spPr/>
      <dgm:t>
        <a:bodyPr/>
        <a:lstStyle/>
        <a:p>
          <a:endParaRPr lang="en-US"/>
        </a:p>
      </dgm:t>
    </dgm:pt>
    <dgm:pt modelId="{278E98E7-C32C-40CE-AE06-DFA1EA751EFA}"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Mechanical Engineer</a:t>
          </a:r>
        </a:p>
      </dgm:t>
    </dgm:pt>
    <dgm:pt modelId="{6F9195E7-C6A9-44F7-A2A5-A2A9F5281628}" type="parTrans" cxnId="{3FBCF5D4-B5B3-4198-9866-14B02F8EB5C3}">
      <dgm:prSet/>
      <dgm:spPr/>
      <dgm:t>
        <a:bodyPr/>
        <a:lstStyle/>
        <a:p>
          <a:endParaRPr lang="en-US"/>
        </a:p>
      </dgm:t>
    </dgm:pt>
    <dgm:pt modelId="{A2346A10-6F2F-4258-9275-B751ABABF722}" type="sibTrans" cxnId="{3FBCF5D4-B5B3-4198-9866-14B02F8EB5C3}">
      <dgm:prSet/>
      <dgm:spPr/>
      <dgm:t>
        <a:bodyPr/>
        <a:lstStyle/>
        <a:p>
          <a:endParaRPr lang="en-US"/>
        </a:p>
      </dgm:t>
    </dgm:pt>
    <dgm:pt modelId="{527433A6-4837-49F1-B75C-0582041AD886}"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Miscelleneous Service Personnel</a:t>
          </a:r>
        </a:p>
      </dgm:t>
    </dgm:pt>
    <dgm:pt modelId="{43CDDE4A-F871-4638-A5ED-83BBF0650269}" type="parTrans" cxnId="{08FA4AB0-15BE-463D-9BDA-F0F3B5471535}">
      <dgm:prSet/>
      <dgm:spPr/>
      <dgm:t>
        <a:bodyPr/>
        <a:lstStyle/>
        <a:p>
          <a:endParaRPr lang="en-US"/>
        </a:p>
      </dgm:t>
    </dgm:pt>
    <dgm:pt modelId="{58204647-D158-428B-BA20-E4BE139757C3}" type="sibTrans" cxnId="{08FA4AB0-15BE-463D-9BDA-F0F3B5471535}">
      <dgm:prSet/>
      <dgm:spPr/>
      <dgm:t>
        <a:bodyPr/>
        <a:lstStyle/>
        <a:p>
          <a:endParaRPr lang="en-US"/>
        </a:p>
      </dgm:t>
    </dgm:pt>
    <dgm:pt modelId="{85033BE6-C2A2-407B-A087-7CE4DEF23F66}"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CAD Engineer</a:t>
          </a:r>
        </a:p>
      </dgm:t>
    </dgm:pt>
    <dgm:pt modelId="{47945B8A-0BFC-4199-B8CB-7F67359084D0}" type="parTrans" cxnId="{8B64AD59-9B37-456D-B370-9E4C2116EBF2}">
      <dgm:prSet/>
      <dgm:spPr/>
      <dgm:t>
        <a:bodyPr/>
        <a:lstStyle/>
        <a:p>
          <a:endParaRPr lang="en-US"/>
        </a:p>
      </dgm:t>
    </dgm:pt>
    <dgm:pt modelId="{AFF79982-56D7-4186-95BE-E35F9AD1E4BB}" type="sibTrans" cxnId="{8B64AD59-9B37-456D-B370-9E4C2116EBF2}">
      <dgm:prSet/>
      <dgm:spPr/>
      <dgm:t>
        <a:bodyPr/>
        <a:lstStyle/>
        <a:p>
          <a:endParaRPr lang="en-US"/>
        </a:p>
      </dgm:t>
    </dgm:pt>
    <dgm:pt modelId="{E0735B4A-B032-4A5D-902A-DB371A194639}"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Job Shop Machinist</a:t>
          </a:r>
        </a:p>
      </dgm:t>
    </dgm:pt>
    <dgm:pt modelId="{640F36C4-5FCC-4D6E-AAA3-0CAEDEBA2B05}" type="parTrans" cxnId="{613972AE-7A48-4726-AB5F-E827DA48863C}">
      <dgm:prSet/>
      <dgm:spPr/>
      <dgm:t>
        <a:bodyPr/>
        <a:lstStyle/>
        <a:p>
          <a:endParaRPr lang="en-US"/>
        </a:p>
      </dgm:t>
    </dgm:pt>
    <dgm:pt modelId="{A1883264-4A77-4095-A5AF-8E57EEA8F71E}" type="sibTrans" cxnId="{613972AE-7A48-4726-AB5F-E827DA48863C}">
      <dgm:prSet/>
      <dgm:spPr/>
      <dgm:t>
        <a:bodyPr/>
        <a:lstStyle/>
        <a:p>
          <a:endParaRPr lang="en-US"/>
        </a:p>
      </dgm:t>
    </dgm:pt>
    <dgm:pt modelId="{9C5BCDB9-E570-49C8-A5DA-0D8413FCF68F}"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Computer Aided Machinist</a:t>
          </a:r>
        </a:p>
      </dgm:t>
    </dgm:pt>
    <dgm:pt modelId="{5616111F-9F3E-480C-BFEE-AAF848FCA207}" type="parTrans" cxnId="{2DEF4977-D028-47CC-9032-887A540C83D1}">
      <dgm:prSet/>
      <dgm:spPr/>
      <dgm:t>
        <a:bodyPr/>
        <a:lstStyle/>
        <a:p>
          <a:endParaRPr lang="en-US"/>
        </a:p>
      </dgm:t>
    </dgm:pt>
    <dgm:pt modelId="{031594E5-A1F8-4B5C-A7B9-B0D2BF074295}" type="sibTrans" cxnId="{2DEF4977-D028-47CC-9032-887A540C83D1}">
      <dgm:prSet/>
      <dgm:spPr/>
      <dgm:t>
        <a:bodyPr/>
        <a:lstStyle/>
        <a:p>
          <a:endParaRPr lang="en-US"/>
        </a:p>
      </dgm:t>
    </dgm:pt>
    <dgm:pt modelId="{3476632C-3E60-4C5E-B95F-1296483B3F54}"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Miscelleneous Service Personnel</a:t>
          </a:r>
        </a:p>
      </dgm:t>
    </dgm:pt>
    <dgm:pt modelId="{FB30EF49-9C25-4D0B-8BE1-8431BDCE595B}" type="parTrans" cxnId="{7CBBDA43-6A45-4B06-A8CF-CAB29D83835E}">
      <dgm:prSet/>
      <dgm:spPr/>
      <dgm:t>
        <a:bodyPr/>
        <a:lstStyle/>
        <a:p>
          <a:endParaRPr lang="en-US"/>
        </a:p>
      </dgm:t>
    </dgm:pt>
    <dgm:pt modelId="{9ED6D6DE-E13C-42AD-8E0C-B837E2688ADB}" type="sibTrans" cxnId="{7CBBDA43-6A45-4B06-A8CF-CAB29D83835E}">
      <dgm:prSet/>
      <dgm:spPr/>
      <dgm:t>
        <a:bodyPr/>
        <a:lstStyle/>
        <a:p>
          <a:endParaRPr lang="en-US"/>
        </a:p>
      </dgm:t>
    </dgm:pt>
    <dgm:pt modelId="{0FBB793C-D5BD-409E-93EA-43D50DBA91BD}"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General Mechanic</a:t>
          </a:r>
        </a:p>
      </dgm:t>
    </dgm:pt>
    <dgm:pt modelId="{FEF9ADFA-C473-4386-BB8B-414C3CDC102C}" type="parTrans" cxnId="{8EEEB154-B212-4AD1-9614-DCDDC8E7CF0A}">
      <dgm:prSet/>
      <dgm:spPr/>
      <dgm:t>
        <a:bodyPr/>
        <a:lstStyle/>
        <a:p>
          <a:endParaRPr lang="en-US"/>
        </a:p>
      </dgm:t>
    </dgm:pt>
    <dgm:pt modelId="{638473A5-4EF6-41A9-8205-54B64655D0FA}" type="sibTrans" cxnId="{8EEEB154-B212-4AD1-9614-DCDDC8E7CF0A}">
      <dgm:prSet/>
      <dgm:spPr/>
      <dgm:t>
        <a:bodyPr/>
        <a:lstStyle/>
        <a:p>
          <a:endParaRPr lang="en-US"/>
        </a:p>
      </dgm:t>
    </dgm:pt>
    <dgm:pt modelId="{9F3D72FC-DC74-446E-A4A8-BBE973EB5BB4}"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Quality Control Inspector</a:t>
          </a:r>
        </a:p>
      </dgm:t>
    </dgm:pt>
    <dgm:pt modelId="{E9EC0062-112D-43EE-B619-FCCA76F8F530}" type="parTrans" cxnId="{1E91AC37-1497-4F48-84A0-BFD7822A4DF7}">
      <dgm:prSet/>
      <dgm:spPr/>
      <dgm:t>
        <a:bodyPr/>
        <a:lstStyle/>
        <a:p>
          <a:endParaRPr lang="en-US"/>
        </a:p>
      </dgm:t>
    </dgm:pt>
    <dgm:pt modelId="{8CC20035-8AD2-4942-A3B1-5435373A1F13}" type="sibTrans" cxnId="{1E91AC37-1497-4F48-84A0-BFD7822A4DF7}">
      <dgm:prSet/>
      <dgm:spPr/>
      <dgm:t>
        <a:bodyPr/>
        <a:lstStyle/>
        <a:p>
          <a:endParaRPr lang="en-US"/>
        </a:p>
      </dgm:t>
    </dgm:pt>
    <dgm:pt modelId="{55202F3C-4C51-4544-92A6-B9C8AD8E741C}"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Process Technician</a:t>
          </a:r>
        </a:p>
      </dgm:t>
    </dgm:pt>
    <dgm:pt modelId="{48DDC5B7-82DB-4312-8F11-711D5A3F29CD}" type="parTrans" cxnId="{78A494BD-5896-4791-9B36-063A1F313A2F}">
      <dgm:prSet/>
      <dgm:spPr/>
      <dgm:t>
        <a:bodyPr/>
        <a:lstStyle/>
        <a:p>
          <a:endParaRPr lang="en-US"/>
        </a:p>
      </dgm:t>
    </dgm:pt>
    <dgm:pt modelId="{FF6E3A9B-EE83-43BE-863C-8CE58ED18EDD}" type="sibTrans" cxnId="{78A494BD-5896-4791-9B36-063A1F313A2F}">
      <dgm:prSet/>
      <dgm:spPr/>
      <dgm:t>
        <a:bodyPr/>
        <a:lstStyle/>
        <a:p>
          <a:endParaRPr lang="en-US"/>
        </a:p>
      </dgm:t>
    </dgm:pt>
    <dgm:pt modelId="{F5115B59-5952-4CE5-9961-84F5EE4AB0C7}"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Precision Assembler/manufacturing technician</a:t>
          </a:r>
        </a:p>
      </dgm:t>
    </dgm:pt>
    <dgm:pt modelId="{0C953AF7-5F5F-4428-9D9E-143AB6D9CD44}" type="parTrans" cxnId="{D248DF4F-4DC5-4C3A-8425-6CC413749A8A}">
      <dgm:prSet/>
      <dgm:spPr/>
      <dgm:t>
        <a:bodyPr/>
        <a:lstStyle/>
        <a:p>
          <a:endParaRPr lang="en-US"/>
        </a:p>
      </dgm:t>
    </dgm:pt>
    <dgm:pt modelId="{3FE5A018-1694-4540-BDA1-FEE828ADB0BE}" type="sibTrans" cxnId="{D248DF4F-4DC5-4C3A-8425-6CC413749A8A}">
      <dgm:prSet/>
      <dgm:spPr/>
      <dgm:t>
        <a:bodyPr/>
        <a:lstStyle/>
        <a:p>
          <a:endParaRPr lang="en-US"/>
        </a:p>
      </dgm:t>
    </dgm:pt>
    <dgm:pt modelId="{43951C17-FEF8-43A2-9EFB-001DD19CDBE0}"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Computer Aided Testing Technician</a:t>
          </a:r>
        </a:p>
      </dgm:t>
    </dgm:pt>
    <dgm:pt modelId="{B5251A56-B076-42D4-A0C4-5FF6CED31AA1}" type="parTrans" cxnId="{ACBE27D8-81AD-494A-B344-DDC08470A9E4}">
      <dgm:prSet/>
      <dgm:spPr/>
      <dgm:t>
        <a:bodyPr/>
        <a:lstStyle/>
        <a:p>
          <a:endParaRPr lang="en-US"/>
        </a:p>
      </dgm:t>
    </dgm:pt>
    <dgm:pt modelId="{0AD47476-485F-4C8E-8E52-7AE550672B53}" type="sibTrans" cxnId="{ACBE27D8-81AD-494A-B344-DDC08470A9E4}">
      <dgm:prSet/>
      <dgm:spPr/>
      <dgm:t>
        <a:bodyPr/>
        <a:lstStyle/>
        <a:p>
          <a:endParaRPr lang="en-US"/>
        </a:p>
      </dgm:t>
    </dgm:pt>
    <dgm:pt modelId="{6760C1B7-553B-4DD6-9596-B6A0210ECEED}" type="asst">
      <dgm:prSet phldrT="[Text]" custT="1"/>
      <dgm:spPr>
        <a:solidFill>
          <a:srgbClr val="ED7D31">
            <a:lumMod val="40000"/>
            <a:lumOff val="60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Text" lastClr="000000"/>
              </a:solidFill>
              <a:latin typeface="Aptos" panose="020B0004020202020204" pitchFamily="34" charset="0"/>
              <a:ea typeface="+mn-ea"/>
              <a:cs typeface="+mn-cs"/>
            </a:rPr>
            <a:t>Corporate Counsel (Contract)</a:t>
          </a:r>
        </a:p>
      </dgm:t>
    </dgm:pt>
    <dgm:pt modelId="{87EDD88A-D41B-4E21-8B62-3145E5CF2BFA}" type="parTrans" cxnId="{EA2A9FFD-C405-4EB1-99AD-334FCF811534}">
      <dgm:prSet/>
      <dgm:spPr/>
      <dgm:t>
        <a:bodyPr/>
        <a:lstStyle/>
        <a:p>
          <a:endParaRPr lang="en-US"/>
        </a:p>
      </dgm:t>
    </dgm:pt>
    <dgm:pt modelId="{C1CED10E-71F1-40F9-BA37-44024455D326}" type="sibTrans" cxnId="{EA2A9FFD-C405-4EB1-99AD-334FCF811534}">
      <dgm:prSet/>
      <dgm:spPr/>
      <dgm:t>
        <a:bodyPr/>
        <a:lstStyle/>
        <a:p>
          <a:endParaRPr lang="en-US"/>
        </a:p>
      </dgm:t>
    </dgm:pt>
    <dgm:pt modelId="{6B5F966D-4A11-4249-9885-B954212AFA75}" type="asst">
      <dgm:prSet phldrT="[Text]" custT="1"/>
      <dgm:spPr>
        <a:solidFill>
          <a:srgbClr val="FFC000">
            <a:lumMod val="75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r>
            <a:rPr lang="en-US" sz="1000" b="1" kern="1200">
              <a:solidFill>
                <a:sysClr val="window" lastClr="FFFFFF"/>
              </a:solidFill>
              <a:latin typeface="Aptos" panose="020B0004020202020204" pitchFamily="34" charset="0"/>
              <a:ea typeface="+mn-ea"/>
              <a:cs typeface="+mn-cs"/>
            </a:rPr>
            <a:t>Administrative</a:t>
          </a:r>
          <a:r>
            <a:rPr lang="en-US" sz="1000" b="1" kern="1200">
              <a:latin typeface="Aptos" panose="020B0004020202020204" pitchFamily="34" charset="0"/>
            </a:rPr>
            <a:t> Assistant</a:t>
          </a:r>
        </a:p>
      </dgm:t>
    </dgm:pt>
    <dgm:pt modelId="{983B35BF-99EA-4508-8F08-BFB09B3BB35D}" type="parTrans" cxnId="{F2727B59-BEC8-4F4E-92B6-35156AB4E18B}">
      <dgm:prSet/>
      <dgm:spPr/>
      <dgm:t>
        <a:bodyPr/>
        <a:lstStyle/>
        <a:p>
          <a:endParaRPr lang="en-US"/>
        </a:p>
      </dgm:t>
    </dgm:pt>
    <dgm:pt modelId="{FD7E6768-78E7-4891-9443-52096643C759}" type="sibTrans" cxnId="{F2727B59-BEC8-4F4E-92B6-35156AB4E18B}">
      <dgm:prSet/>
      <dgm:spPr/>
      <dgm:t>
        <a:bodyPr/>
        <a:lstStyle/>
        <a:p>
          <a:endParaRPr lang="en-US"/>
        </a:p>
      </dgm:t>
    </dgm:pt>
    <dgm:pt modelId="{86443D66-1FF0-4756-95DD-ECC227FB71A7}" type="asst">
      <dgm:prSet phldrT="[Text]" custT="1"/>
      <dgm:spPr>
        <a:solidFill>
          <a:srgbClr val="ED7D31">
            <a:lumMod val="40000"/>
            <a:lumOff val="60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Text" lastClr="000000"/>
              </a:solidFill>
              <a:latin typeface="Aptos" panose="020B0004020202020204" pitchFamily="34" charset="0"/>
              <a:ea typeface="+mn-ea"/>
              <a:cs typeface="+mn-cs"/>
            </a:rPr>
            <a:t>One Passenger Skycar M100 Prototype Development</a:t>
          </a:r>
        </a:p>
      </dgm:t>
    </dgm:pt>
    <dgm:pt modelId="{E1EB5A33-5038-4331-B8DE-2C30ED22B2EE}" type="parTrans" cxnId="{AB5F90E8-D5C1-4A2A-A674-1311CEE65C7A}">
      <dgm:prSet/>
      <dgm:spPr/>
      <dgm:t>
        <a:bodyPr/>
        <a:lstStyle/>
        <a:p>
          <a:endParaRPr lang="en-US"/>
        </a:p>
      </dgm:t>
    </dgm:pt>
    <dgm:pt modelId="{FB59FE21-7388-4131-9A54-6C4071070E08}" type="sibTrans" cxnId="{AB5F90E8-D5C1-4A2A-A674-1311CEE65C7A}">
      <dgm:prSet/>
      <dgm:spPr/>
      <dgm:t>
        <a:bodyPr/>
        <a:lstStyle/>
        <a:p>
          <a:endParaRPr lang="en-US"/>
        </a:p>
      </dgm:t>
    </dgm:pt>
    <dgm:pt modelId="{AB4F41D4-A32F-4DE4-9128-25525A0A4062}" type="asst">
      <dgm:prSet phldrT="[Text]" custT="1"/>
      <dgm:spPr>
        <a:solidFill>
          <a:srgbClr val="ED7D31">
            <a:lumMod val="40000"/>
            <a:lumOff val="60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Text" lastClr="000000"/>
              </a:solidFill>
              <a:latin typeface="Aptos" panose="020B0004020202020204" pitchFamily="34" charset="0"/>
              <a:ea typeface="+mn-ea"/>
              <a:cs typeface="+mn-cs"/>
            </a:rPr>
            <a:t>Outside Consultants Management</a:t>
          </a:r>
        </a:p>
      </dgm:t>
    </dgm:pt>
    <dgm:pt modelId="{44FAC367-ADAB-4303-B7C8-4AD4F3E31EEB}" type="parTrans" cxnId="{75CC3DB3-350E-47DC-8096-69057850248F}">
      <dgm:prSet/>
      <dgm:spPr/>
      <dgm:t>
        <a:bodyPr/>
        <a:lstStyle/>
        <a:p>
          <a:endParaRPr lang="en-US"/>
        </a:p>
      </dgm:t>
    </dgm:pt>
    <dgm:pt modelId="{270C665C-ED41-4BFF-B000-022E6602E93F}" type="sibTrans" cxnId="{75CC3DB3-350E-47DC-8096-69057850248F}">
      <dgm:prSet/>
      <dgm:spPr/>
      <dgm:t>
        <a:bodyPr/>
        <a:lstStyle/>
        <a:p>
          <a:endParaRPr lang="en-US"/>
        </a:p>
      </dgm:t>
    </dgm:pt>
    <dgm:pt modelId="{7BF133F5-E888-4C0D-AFFF-6A0DA836D326}" type="asst">
      <dgm:prSet phldrT="[Text]" custT="1"/>
      <dgm:spPr>
        <a:solidFill>
          <a:srgbClr val="ED7D31">
            <a:lumMod val="40000"/>
            <a:lumOff val="60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Text" lastClr="000000"/>
              </a:solidFill>
              <a:latin typeface="Aptos" panose="020B0004020202020204" pitchFamily="34" charset="0"/>
              <a:ea typeface="+mn-ea"/>
              <a:cs typeface="+mn-cs"/>
            </a:rPr>
            <a:t>IT Services Management</a:t>
          </a:r>
        </a:p>
      </dgm:t>
    </dgm:pt>
    <dgm:pt modelId="{7CBFE43C-727C-4F0E-A001-0EA55288B5D1}" type="parTrans" cxnId="{4FE71D39-350E-4237-A81D-5F863D600ACE}">
      <dgm:prSet/>
      <dgm:spPr/>
      <dgm:t>
        <a:bodyPr/>
        <a:lstStyle/>
        <a:p>
          <a:endParaRPr lang="en-US"/>
        </a:p>
      </dgm:t>
    </dgm:pt>
    <dgm:pt modelId="{F4DE9D01-BDA1-4304-B1DF-7C38067E2AEA}" type="sibTrans" cxnId="{4FE71D39-350E-4237-A81D-5F863D600ACE}">
      <dgm:prSet/>
      <dgm:spPr/>
      <dgm:t>
        <a:bodyPr/>
        <a:lstStyle/>
        <a:p>
          <a:endParaRPr lang="en-US"/>
        </a:p>
      </dgm:t>
    </dgm:pt>
    <dgm:pt modelId="{7535E044-E6BC-45C1-9B3B-119EEABBE04A}" type="asst">
      <dgm:prSet phldrT="[Text]" custT="1"/>
      <dgm:spPr>
        <a:solidFill>
          <a:srgbClr val="ED7D31">
            <a:lumMod val="40000"/>
            <a:lumOff val="60000"/>
          </a:srgbClr>
        </a:solidFill>
        <a:ln w="12700" cap="flat" cmpd="sng" algn="ctr">
          <a:solidFill>
            <a:sysClr val="window" lastClr="FFFFFF">
              <a:hueOff val="0"/>
              <a:satOff val="0"/>
              <a:lumOff val="0"/>
              <a:alphaOff val="0"/>
            </a:sysClr>
          </a:solidFill>
          <a:prstDash val="solid"/>
          <a:miter lim="800000"/>
        </a:ln>
        <a:effectLst/>
      </dgm:spPr>
      <dgm:t>
        <a:bodyPr spcFirstLastPara="0" vert="horz" wrap="square" lIns="6350" tIns="6350" rIns="6350" bIns="6350" numCol="1" spcCol="1270" anchor="ctr" anchorCtr="0"/>
        <a:lstStyle/>
        <a:p>
          <a:pPr marL="0" lvl="0" indent="0" algn="ctr" defTabSz="444500">
            <a:lnSpc>
              <a:spcPct val="90000"/>
            </a:lnSpc>
            <a:spcBef>
              <a:spcPct val="0"/>
            </a:spcBef>
            <a:spcAft>
              <a:spcPct val="35000"/>
            </a:spcAft>
            <a:buNone/>
          </a:pPr>
          <a:r>
            <a:rPr lang="en-US" sz="1000" b="1" kern="1200">
              <a:solidFill>
                <a:sysClr val="windowText" lastClr="000000"/>
              </a:solidFill>
              <a:latin typeface="Aptos" panose="020B0004020202020204" pitchFamily="34" charset="0"/>
              <a:ea typeface="+mn-ea"/>
              <a:cs typeface="+mn-cs"/>
            </a:rPr>
            <a:t>Financial Services Management</a:t>
          </a:r>
        </a:p>
      </dgm:t>
    </dgm:pt>
    <dgm:pt modelId="{86383165-2864-4F97-A7C0-1DF2BFC8DB5F}" type="parTrans" cxnId="{C41DF614-BC3F-434F-839B-943FD6C694B0}">
      <dgm:prSet/>
      <dgm:spPr/>
      <dgm:t>
        <a:bodyPr/>
        <a:lstStyle/>
        <a:p>
          <a:endParaRPr lang="en-US"/>
        </a:p>
      </dgm:t>
    </dgm:pt>
    <dgm:pt modelId="{B7E4879E-39F7-46F2-AE33-C22DD9247191}" type="sibTrans" cxnId="{C41DF614-BC3F-434F-839B-943FD6C694B0}">
      <dgm:prSet/>
      <dgm:spPr/>
      <dgm:t>
        <a:bodyPr/>
        <a:lstStyle/>
        <a:p>
          <a:endParaRPr lang="en-US"/>
        </a:p>
      </dgm:t>
    </dgm:pt>
    <dgm:pt modelId="{FCF11548-7FAA-4D75-97DF-4258BED40F4C}" type="pres">
      <dgm:prSet presAssocID="{24CBDFE5-6695-4C77-8BD9-9C34B10B1DA6}" presName="hierChild1" presStyleCnt="0">
        <dgm:presLayoutVars>
          <dgm:orgChart val="1"/>
          <dgm:chPref val="1"/>
          <dgm:dir/>
          <dgm:animOne val="branch"/>
          <dgm:animLvl val="lvl"/>
          <dgm:resizeHandles/>
        </dgm:presLayoutVars>
      </dgm:prSet>
      <dgm:spPr/>
    </dgm:pt>
    <dgm:pt modelId="{E994EAA7-F097-47E7-A64C-2751E8710010}" type="pres">
      <dgm:prSet presAssocID="{4835F541-6F80-4BAC-A101-42BCAA22D4CF}" presName="hierRoot1" presStyleCnt="0">
        <dgm:presLayoutVars>
          <dgm:hierBranch val="init"/>
        </dgm:presLayoutVars>
      </dgm:prSet>
      <dgm:spPr/>
    </dgm:pt>
    <dgm:pt modelId="{C253C18E-53B2-48F2-A662-69D577C3ADDE}" type="pres">
      <dgm:prSet presAssocID="{4835F541-6F80-4BAC-A101-42BCAA22D4CF}" presName="rootComposite1" presStyleCnt="0"/>
      <dgm:spPr/>
    </dgm:pt>
    <dgm:pt modelId="{478F74FB-61C5-4FA8-8D56-C70F3A9B0B40}" type="pres">
      <dgm:prSet presAssocID="{4835F541-6F80-4BAC-A101-42BCAA22D4CF}" presName="rootText1" presStyleLbl="node0" presStyleIdx="0" presStyleCnt="1" custScaleX="160414">
        <dgm:presLayoutVars>
          <dgm:chPref val="3"/>
        </dgm:presLayoutVars>
      </dgm:prSet>
      <dgm:spPr>
        <a:xfrm>
          <a:off x="5250332" y="1599"/>
          <a:ext cx="1410661" cy="439694"/>
        </a:xfrm>
        <a:prstGeom prst="rect">
          <a:avLst/>
        </a:prstGeom>
      </dgm:spPr>
    </dgm:pt>
    <dgm:pt modelId="{5A8382B9-2F70-4A0B-93F3-909D4B606BDC}" type="pres">
      <dgm:prSet presAssocID="{4835F541-6F80-4BAC-A101-42BCAA22D4CF}" presName="rootConnector1" presStyleLbl="node1" presStyleIdx="0" presStyleCnt="0"/>
      <dgm:spPr/>
    </dgm:pt>
    <dgm:pt modelId="{03770238-C14D-43DD-9179-71DDE6FE2D4F}" type="pres">
      <dgm:prSet presAssocID="{4835F541-6F80-4BAC-A101-42BCAA22D4CF}" presName="hierChild2" presStyleCnt="0"/>
      <dgm:spPr/>
    </dgm:pt>
    <dgm:pt modelId="{9EE7AF9F-30FD-4AD7-8C5E-ED0D12BD249E}" type="pres">
      <dgm:prSet presAssocID="{4835F541-6F80-4BAC-A101-42BCAA22D4CF}" presName="hierChild3" presStyleCnt="0"/>
      <dgm:spPr/>
    </dgm:pt>
    <dgm:pt modelId="{4F40A149-E423-4A91-A337-7ADCEC1B0EB7}" type="pres">
      <dgm:prSet presAssocID="{79BF5173-552E-402D-8FAC-186547F278D5}" presName="Name111" presStyleLbl="parChTrans1D2" presStyleIdx="0" presStyleCnt="2"/>
      <dgm:spPr/>
    </dgm:pt>
    <dgm:pt modelId="{23E6F1F3-C5AE-45F0-BC67-7C65EEAE2FC7}" type="pres">
      <dgm:prSet presAssocID="{2DC7BEEA-984E-4BA9-A348-A2FD06B09A24}" presName="hierRoot3" presStyleCnt="0">
        <dgm:presLayoutVars>
          <dgm:hierBranch val="init"/>
        </dgm:presLayoutVars>
      </dgm:prSet>
      <dgm:spPr/>
    </dgm:pt>
    <dgm:pt modelId="{789CA5A2-0833-4490-A512-FD4B27EBEBC0}" type="pres">
      <dgm:prSet presAssocID="{2DC7BEEA-984E-4BA9-A348-A2FD06B09A24}" presName="rootComposite3" presStyleCnt="0"/>
      <dgm:spPr/>
    </dgm:pt>
    <dgm:pt modelId="{8981F1F3-545D-44DE-9AB5-6C26AD224AC2}" type="pres">
      <dgm:prSet presAssocID="{2DC7BEEA-984E-4BA9-A348-A2FD06B09A24}" presName="rootText3" presStyleLbl="asst1" presStyleIdx="0" presStyleCnt="32">
        <dgm:presLayoutVars>
          <dgm:chPref val="3"/>
        </dgm:presLayoutVars>
      </dgm:prSet>
      <dgm:spPr>
        <a:xfrm>
          <a:off x="1918971" y="853724"/>
          <a:ext cx="1009088" cy="504544"/>
        </a:xfrm>
        <a:prstGeom prst="rect">
          <a:avLst/>
        </a:prstGeom>
      </dgm:spPr>
    </dgm:pt>
    <dgm:pt modelId="{28BA6C23-E442-42E8-828B-0FE625BA3DCA}" type="pres">
      <dgm:prSet presAssocID="{2DC7BEEA-984E-4BA9-A348-A2FD06B09A24}" presName="rootConnector3" presStyleLbl="asst1" presStyleIdx="0" presStyleCnt="32"/>
      <dgm:spPr/>
    </dgm:pt>
    <dgm:pt modelId="{362C23AA-F84B-4745-94C8-DB68AC23B3D9}" type="pres">
      <dgm:prSet presAssocID="{2DC7BEEA-984E-4BA9-A348-A2FD06B09A24}" presName="hierChild6" presStyleCnt="0"/>
      <dgm:spPr/>
    </dgm:pt>
    <dgm:pt modelId="{8AA994FB-AFC7-48BF-8508-89F22694B253}" type="pres">
      <dgm:prSet presAssocID="{2DC7BEEA-984E-4BA9-A348-A2FD06B09A24}" presName="hierChild7" presStyleCnt="0"/>
      <dgm:spPr/>
    </dgm:pt>
    <dgm:pt modelId="{7E9ECE24-F11A-4ABB-89DF-C01E0A9FD2CC}" type="pres">
      <dgm:prSet presAssocID="{87EDD88A-D41B-4E21-8B62-3145E5CF2BFA}" presName="Name111" presStyleLbl="parChTrans1D3" presStyleIdx="0" presStyleCnt="4"/>
      <dgm:spPr/>
    </dgm:pt>
    <dgm:pt modelId="{FA952BF1-58E0-409E-9BAF-5C51555D26DD}" type="pres">
      <dgm:prSet presAssocID="{6760C1B7-553B-4DD6-9596-B6A0210ECEED}" presName="hierRoot3" presStyleCnt="0">
        <dgm:presLayoutVars>
          <dgm:hierBranch val="init"/>
        </dgm:presLayoutVars>
      </dgm:prSet>
      <dgm:spPr/>
    </dgm:pt>
    <dgm:pt modelId="{A130C4D7-A7E8-43A6-8297-27689E98C7A1}" type="pres">
      <dgm:prSet presAssocID="{6760C1B7-553B-4DD6-9596-B6A0210ECEED}" presName="rootComposite3" presStyleCnt="0"/>
      <dgm:spPr/>
    </dgm:pt>
    <dgm:pt modelId="{D972D2BE-3F8E-4F29-BF1B-BDE8AB4B7B77}" type="pres">
      <dgm:prSet presAssocID="{6760C1B7-553B-4DD6-9596-B6A0210ECEED}" presName="rootText3" presStyleLbl="asst1" presStyleIdx="1" presStyleCnt="32" custScaleX="106681" custScaleY="123340">
        <dgm:presLayoutVars>
          <dgm:chPref val="3"/>
        </dgm:presLayoutVars>
      </dgm:prSet>
      <dgm:spPr>
        <a:xfrm>
          <a:off x="556421" y="1705958"/>
          <a:ext cx="1280992" cy="740514"/>
        </a:xfrm>
        <a:prstGeom prst="rect">
          <a:avLst/>
        </a:prstGeom>
      </dgm:spPr>
    </dgm:pt>
    <dgm:pt modelId="{EF511E45-A3A5-453B-8248-C41BBF0D1E35}" type="pres">
      <dgm:prSet presAssocID="{6760C1B7-553B-4DD6-9596-B6A0210ECEED}" presName="rootConnector3" presStyleLbl="asst1" presStyleIdx="1" presStyleCnt="32"/>
      <dgm:spPr/>
    </dgm:pt>
    <dgm:pt modelId="{F7E9A935-B07F-412C-A7CA-B7C976EDF7D9}" type="pres">
      <dgm:prSet presAssocID="{6760C1B7-553B-4DD6-9596-B6A0210ECEED}" presName="hierChild6" presStyleCnt="0"/>
      <dgm:spPr/>
    </dgm:pt>
    <dgm:pt modelId="{71031CBA-4D8C-4E8D-A3BA-6A786856015F}" type="pres">
      <dgm:prSet presAssocID="{6760C1B7-553B-4DD6-9596-B6A0210ECEED}" presName="hierChild7" presStyleCnt="0"/>
      <dgm:spPr/>
    </dgm:pt>
    <dgm:pt modelId="{88711CEE-209A-4467-B2DE-D0614A9CAF2B}" type="pres">
      <dgm:prSet presAssocID="{090ABDCE-A46B-41F5-A51F-83F635349A6B}" presName="Name111" presStyleLbl="parChTrans1D3" presStyleIdx="1" presStyleCnt="4"/>
      <dgm:spPr/>
    </dgm:pt>
    <dgm:pt modelId="{7CE74371-5F83-47C0-81C0-F4C29FADE01B}" type="pres">
      <dgm:prSet presAssocID="{385F8D00-C7F7-4A0C-AE27-995E79EB7EDA}" presName="hierRoot3" presStyleCnt="0">
        <dgm:presLayoutVars>
          <dgm:hierBranch val="init"/>
        </dgm:presLayoutVars>
      </dgm:prSet>
      <dgm:spPr/>
    </dgm:pt>
    <dgm:pt modelId="{9269DBAC-4076-48B8-BF1B-107CE7837F51}" type="pres">
      <dgm:prSet presAssocID="{385F8D00-C7F7-4A0C-AE27-995E79EB7EDA}" presName="rootComposite3" presStyleCnt="0"/>
      <dgm:spPr/>
    </dgm:pt>
    <dgm:pt modelId="{58FA21DD-3F2F-45C9-8E2E-233D5343EFE3}" type="pres">
      <dgm:prSet presAssocID="{385F8D00-C7F7-4A0C-AE27-995E79EB7EDA}" presName="rootText3" presStyleLbl="asst1" presStyleIdx="2" presStyleCnt="32">
        <dgm:presLayoutVars>
          <dgm:chPref val="3"/>
        </dgm:presLayoutVars>
      </dgm:prSet>
      <dgm:spPr>
        <a:xfrm>
          <a:off x="4360964" y="1570176"/>
          <a:ext cx="1009088" cy="504544"/>
        </a:xfrm>
        <a:prstGeom prst="rect">
          <a:avLst/>
        </a:prstGeom>
      </dgm:spPr>
    </dgm:pt>
    <dgm:pt modelId="{AC4BAC35-8EC5-4C8D-A1F9-F4C9620F8F71}" type="pres">
      <dgm:prSet presAssocID="{385F8D00-C7F7-4A0C-AE27-995E79EB7EDA}" presName="rootConnector3" presStyleLbl="asst1" presStyleIdx="2" presStyleCnt="32"/>
      <dgm:spPr/>
    </dgm:pt>
    <dgm:pt modelId="{2F78C291-111E-4F59-A2AE-360E9D9E519B}" type="pres">
      <dgm:prSet presAssocID="{385F8D00-C7F7-4A0C-AE27-995E79EB7EDA}" presName="hierChild6" presStyleCnt="0"/>
      <dgm:spPr/>
    </dgm:pt>
    <dgm:pt modelId="{8C3363A7-E4F0-4417-A2AA-176BD7F7EE98}" type="pres">
      <dgm:prSet presAssocID="{385F8D00-C7F7-4A0C-AE27-995E79EB7EDA}" presName="hierChild7" presStyleCnt="0"/>
      <dgm:spPr/>
    </dgm:pt>
    <dgm:pt modelId="{E3917415-F641-4A2F-A1B4-9B1E839C9B2D}" type="pres">
      <dgm:prSet presAssocID="{7BBBDE84-C6AF-4F36-A3B6-F147AC908D28}" presName="Name111" presStyleLbl="parChTrans1D4" presStyleIdx="0" presStyleCnt="26"/>
      <dgm:spPr/>
    </dgm:pt>
    <dgm:pt modelId="{A3BFBBD6-D705-4E02-B4F4-8060B6A3C510}" type="pres">
      <dgm:prSet presAssocID="{339DCD3A-2317-4FE7-BE0E-5495A5C870F7}" presName="hierRoot3" presStyleCnt="0">
        <dgm:presLayoutVars>
          <dgm:hierBranch val="init"/>
        </dgm:presLayoutVars>
      </dgm:prSet>
      <dgm:spPr/>
    </dgm:pt>
    <dgm:pt modelId="{54F4A352-ACDD-4504-95F7-EA3FDEB5BFA3}" type="pres">
      <dgm:prSet presAssocID="{339DCD3A-2317-4FE7-BE0E-5495A5C870F7}" presName="rootComposite3" presStyleCnt="0"/>
      <dgm:spPr/>
    </dgm:pt>
    <dgm:pt modelId="{9FB18A12-7A9E-4F3E-AE30-FC6483217B23}" type="pres">
      <dgm:prSet presAssocID="{339DCD3A-2317-4FE7-BE0E-5495A5C870F7}" presName="rootText3" presStyleLbl="asst1" presStyleIdx="3" presStyleCnt="32">
        <dgm:presLayoutVars>
          <dgm:chPref val="3"/>
        </dgm:presLayoutVars>
      </dgm:prSet>
      <dgm:spPr>
        <a:xfrm>
          <a:off x="3139968" y="3857078"/>
          <a:ext cx="1009088" cy="504544"/>
        </a:xfrm>
        <a:prstGeom prst="rect">
          <a:avLst/>
        </a:prstGeom>
      </dgm:spPr>
    </dgm:pt>
    <dgm:pt modelId="{289F125A-E199-453D-AFB4-9AE532BEC254}" type="pres">
      <dgm:prSet presAssocID="{339DCD3A-2317-4FE7-BE0E-5495A5C870F7}" presName="rootConnector3" presStyleLbl="asst1" presStyleIdx="3" presStyleCnt="32"/>
      <dgm:spPr/>
    </dgm:pt>
    <dgm:pt modelId="{6E850C29-12D1-470A-9660-7757DB99EF31}" type="pres">
      <dgm:prSet presAssocID="{339DCD3A-2317-4FE7-BE0E-5495A5C870F7}" presName="hierChild6" presStyleCnt="0"/>
      <dgm:spPr/>
    </dgm:pt>
    <dgm:pt modelId="{DA11C6CF-6E83-4CC4-9874-DA1C91CB25AA}" type="pres">
      <dgm:prSet presAssocID="{339DCD3A-2317-4FE7-BE0E-5495A5C870F7}" presName="hierChild7" presStyleCnt="0"/>
      <dgm:spPr/>
    </dgm:pt>
    <dgm:pt modelId="{9E17A56F-9C37-4700-8C91-0225C5987C02}" type="pres">
      <dgm:prSet presAssocID="{983B35BF-99EA-4508-8F08-BFB09B3BB35D}" presName="Name111" presStyleLbl="parChTrans1D4" presStyleIdx="1" presStyleCnt="26"/>
      <dgm:spPr/>
    </dgm:pt>
    <dgm:pt modelId="{0B99CE76-A06A-494A-8064-490AB465F1EB}" type="pres">
      <dgm:prSet presAssocID="{6B5F966D-4A11-4249-9885-B954212AFA75}" presName="hierRoot3" presStyleCnt="0">
        <dgm:presLayoutVars>
          <dgm:hierBranch val="init"/>
        </dgm:presLayoutVars>
      </dgm:prSet>
      <dgm:spPr/>
    </dgm:pt>
    <dgm:pt modelId="{527F5E26-6A31-446C-A9FD-82C84B1C67F0}" type="pres">
      <dgm:prSet presAssocID="{6B5F966D-4A11-4249-9885-B954212AFA75}" presName="rootComposite3" presStyleCnt="0"/>
      <dgm:spPr/>
    </dgm:pt>
    <dgm:pt modelId="{9D0E5FCE-0523-4AFB-8BA3-8FB8E81081B3}" type="pres">
      <dgm:prSet presAssocID="{6B5F966D-4A11-4249-9885-B954212AFA75}" presName="rootText3" presStyleLbl="asst1" presStyleIdx="4" presStyleCnt="32">
        <dgm:presLayoutVars>
          <dgm:chPref val="3"/>
        </dgm:presLayoutVars>
      </dgm:prSet>
      <dgm:spPr>
        <a:xfrm>
          <a:off x="2529469" y="4573530"/>
          <a:ext cx="1009088" cy="504544"/>
        </a:xfrm>
        <a:prstGeom prst="rect">
          <a:avLst/>
        </a:prstGeom>
      </dgm:spPr>
    </dgm:pt>
    <dgm:pt modelId="{7678DBFA-626D-4C1F-A07E-3894A526F19D}" type="pres">
      <dgm:prSet presAssocID="{6B5F966D-4A11-4249-9885-B954212AFA75}" presName="rootConnector3" presStyleLbl="asst1" presStyleIdx="4" presStyleCnt="32"/>
      <dgm:spPr/>
    </dgm:pt>
    <dgm:pt modelId="{A1089E7A-48A1-482F-8467-B639DB9D6155}" type="pres">
      <dgm:prSet presAssocID="{6B5F966D-4A11-4249-9885-B954212AFA75}" presName="hierChild6" presStyleCnt="0"/>
      <dgm:spPr/>
    </dgm:pt>
    <dgm:pt modelId="{30E923B1-8824-4861-9D83-C055E61AB97D}" type="pres">
      <dgm:prSet presAssocID="{6B5F966D-4A11-4249-9885-B954212AFA75}" presName="hierChild7" presStyleCnt="0"/>
      <dgm:spPr/>
    </dgm:pt>
    <dgm:pt modelId="{2BB0DDB4-12FE-4D64-96A4-1C66DEA30EA9}" type="pres">
      <dgm:prSet presAssocID="{AEA9822A-1CAA-4BB5-8884-592FBA41FE65}" presName="Name111" presStyleLbl="parChTrans1D4" presStyleIdx="2" presStyleCnt="26"/>
      <dgm:spPr/>
    </dgm:pt>
    <dgm:pt modelId="{28D9EE17-3DE6-47DB-82A5-CAD0020FAD3A}" type="pres">
      <dgm:prSet presAssocID="{1507EA25-95CD-4438-8129-97A51621F326}" presName="hierRoot3" presStyleCnt="0">
        <dgm:presLayoutVars>
          <dgm:hierBranch val="init"/>
        </dgm:presLayoutVars>
      </dgm:prSet>
      <dgm:spPr/>
    </dgm:pt>
    <dgm:pt modelId="{5BAAE6E2-5A92-460E-B572-E2104E69CC21}" type="pres">
      <dgm:prSet presAssocID="{1507EA25-95CD-4438-8129-97A51621F326}" presName="rootComposite3" presStyleCnt="0"/>
      <dgm:spPr/>
    </dgm:pt>
    <dgm:pt modelId="{D40B097B-D4B6-4D1E-BFC4-06C5F94AA668}" type="pres">
      <dgm:prSet presAssocID="{1507EA25-95CD-4438-8129-97A51621F326}" presName="rootText3" presStyleLbl="asst1" presStyleIdx="5" presStyleCnt="32">
        <dgm:presLayoutVars>
          <dgm:chPref val="3"/>
        </dgm:presLayoutVars>
      </dgm:prSet>
      <dgm:spPr>
        <a:xfrm>
          <a:off x="4995435" y="3411050"/>
          <a:ext cx="1200768" cy="600384"/>
        </a:xfrm>
        <a:prstGeom prst="rect">
          <a:avLst/>
        </a:prstGeom>
      </dgm:spPr>
    </dgm:pt>
    <dgm:pt modelId="{4F775AAB-2564-4369-B531-0AC9CE97037F}" type="pres">
      <dgm:prSet presAssocID="{1507EA25-95CD-4438-8129-97A51621F326}" presName="rootConnector3" presStyleLbl="asst1" presStyleIdx="5" presStyleCnt="32"/>
      <dgm:spPr/>
    </dgm:pt>
    <dgm:pt modelId="{71CF3D0C-019B-4FB9-882E-B9DE1F29A788}" type="pres">
      <dgm:prSet presAssocID="{1507EA25-95CD-4438-8129-97A51621F326}" presName="hierChild6" presStyleCnt="0"/>
      <dgm:spPr/>
    </dgm:pt>
    <dgm:pt modelId="{CB8CE36E-B953-4D88-A093-CECB775B7D1A}" type="pres">
      <dgm:prSet presAssocID="{1507EA25-95CD-4438-8129-97A51621F326}" presName="hierChild7" presStyleCnt="0"/>
      <dgm:spPr/>
    </dgm:pt>
    <dgm:pt modelId="{ACE94CAF-E8A6-4CF4-BD1C-3775C74BEC6D}" type="pres">
      <dgm:prSet presAssocID="{7CBFE43C-727C-4F0E-A001-0EA55288B5D1}" presName="Name111" presStyleLbl="parChTrans1D4" presStyleIdx="3" presStyleCnt="26"/>
      <dgm:spPr/>
    </dgm:pt>
    <dgm:pt modelId="{57FB1BDA-DAB5-46C9-8182-FEB45A75FAF3}" type="pres">
      <dgm:prSet presAssocID="{7BF133F5-E888-4C0D-AFFF-6A0DA836D326}" presName="hierRoot3" presStyleCnt="0">
        <dgm:presLayoutVars>
          <dgm:hierBranch val="init"/>
        </dgm:presLayoutVars>
      </dgm:prSet>
      <dgm:spPr/>
    </dgm:pt>
    <dgm:pt modelId="{7602BDC9-953A-45B5-9641-D99383A50E76}" type="pres">
      <dgm:prSet presAssocID="{7BF133F5-E888-4C0D-AFFF-6A0DA836D326}" presName="rootComposite3" presStyleCnt="0"/>
      <dgm:spPr/>
    </dgm:pt>
    <dgm:pt modelId="{DA0F1F35-C154-4688-A4A2-31023C7FB110}" type="pres">
      <dgm:prSet presAssocID="{7BF133F5-E888-4C0D-AFFF-6A0DA836D326}" presName="rootText3" presStyleLbl="asst1" presStyleIdx="6" presStyleCnt="32">
        <dgm:presLayoutVars>
          <dgm:chPref val="3"/>
        </dgm:presLayoutVars>
      </dgm:prSet>
      <dgm:spPr/>
    </dgm:pt>
    <dgm:pt modelId="{EABDDD6E-FA66-48BA-AA3B-FC18050939EE}" type="pres">
      <dgm:prSet presAssocID="{7BF133F5-E888-4C0D-AFFF-6A0DA836D326}" presName="rootConnector3" presStyleLbl="asst1" presStyleIdx="6" presStyleCnt="32"/>
      <dgm:spPr/>
    </dgm:pt>
    <dgm:pt modelId="{47B994C5-361F-457D-93DC-908B4229F727}" type="pres">
      <dgm:prSet presAssocID="{7BF133F5-E888-4C0D-AFFF-6A0DA836D326}" presName="hierChild6" presStyleCnt="0"/>
      <dgm:spPr/>
    </dgm:pt>
    <dgm:pt modelId="{903E3B9E-A0DA-4F3C-BB2E-6693E399241A}" type="pres">
      <dgm:prSet presAssocID="{7BF133F5-E888-4C0D-AFFF-6A0DA836D326}" presName="hierChild7" presStyleCnt="0"/>
      <dgm:spPr/>
    </dgm:pt>
    <dgm:pt modelId="{82516418-227E-4B27-8FB3-224A0D5A7A0D}" type="pres">
      <dgm:prSet presAssocID="{86383165-2864-4F97-A7C0-1DF2BFC8DB5F}" presName="Name111" presStyleLbl="parChTrans1D4" presStyleIdx="4" presStyleCnt="26"/>
      <dgm:spPr/>
    </dgm:pt>
    <dgm:pt modelId="{C5E21A6A-4933-4722-A3F3-01519CE69D9F}" type="pres">
      <dgm:prSet presAssocID="{7535E044-E6BC-45C1-9B3B-119EEABBE04A}" presName="hierRoot3" presStyleCnt="0">
        <dgm:presLayoutVars>
          <dgm:hierBranch val="init"/>
        </dgm:presLayoutVars>
      </dgm:prSet>
      <dgm:spPr/>
    </dgm:pt>
    <dgm:pt modelId="{42657F84-98A1-4FB5-BF7C-2A08C23F6ACB}" type="pres">
      <dgm:prSet presAssocID="{7535E044-E6BC-45C1-9B3B-119EEABBE04A}" presName="rootComposite3" presStyleCnt="0"/>
      <dgm:spPr/>
    </dgm:pt>
    <dgm:pt modelId="{BDA4091C-6E5A-4BA7-A0E8-38B41454F427}" type="pres">
      <dgm:prSet presAssocID="{7535E044-E6BC-45C1-9B3B-119EEABBE04A}" presName="rootText3" presStyleLbl="asst1" presStyleIdx="7" presStyleCnt="32">
        <dgm:presLayoutVars>
          <dgm:chPref val="3"/>
        </dgm:presLayoutVars>
      </dgm:prSet>
      <dgm:spPr/>
    </dgm:pt>
    <dgm:pt modelId="{06E21C87-65A8-4BE3-B0C8-1094CA1F891E}" type="pres">
      <dgm:prSet presAssocID="{7535E044-E6BC-45C1-9B3B-119EEABBE04A}" presName="rootConnector3" presStyleLbl="asst1" presStyleIdx="7" presStyleCnt="32"/>
      <dgm:spPr/>
    </dgm:pt>
    <dgm:pt modelId="{D15F9A05-BF1D-4ECE-8658-E2CF13FBB28E}" type="pres">
      <dgm:prSet presAssocID="{7535E044-E6BC-45C1-9B3B-119EEABBE04A}" presName="hierChild6" presStyleCnt="0"/>
      <dgm:spPr/>
    </dgm:pt>
    <dgm:pt modelId="{15AF8854-5915-4524-8616-D1D6DDD24B42}" type="pres">
      <dgm:prSet presAssocID="{7535E044-E6BC-45C1-9B3B-119EEABBE04A}" presName="hierChild7" presStyleCnt="0"/>
      <dgm:spPr/>
    </dgm:pt>
    <dgm:pt modelId="{5A38456E-D50D-4166-BFB4-4E63C5ADABBD}" type="pres">
      <dgm:prSet presAssocID="{0005CACF-C568-4024-8A74-6141CFCCA451}" presName="Name111" presStyleLbl="parChTrans1D2" presStyleIdx="1" presStyleCnt="2"/>
      <dgm:spPr/>
    </dgm:pt>
    <dgm:pt modelId="{B8B512AF-3C4E-46C1-A173-6C390455E8E3}" type="pres">
      <dgm:prSet presAssocID="{203E615F-5C7B-44F4-8713-195F604AC0EE}" presName="hierRoot3" presStyleCnt="0">
        <dgm:presLayoutVars>
          <dgm:hierBranch val="init"/>
        </dgm:presLayoutVars>
      </dgm:prSet>
      <dgm:spPr/>
    </dgm:pt>
    <dgm:pt modelId="{494CB64A-D10A-46A9-A87C-9ABB94C95A31}" type="pres">
      <dgm:prSet presAssocID="{203E615F-5C7B-44F4-8713-195F604AC0EE}" presName="rootComposite3" presStyleCnt="0"/>
      <dgm:spPr/>
    </dgm:pt>
    <dgm:pt modelId="{025FA375-B041-4AED-A61A-C166E6DD1D7F}" type="pres">
      <dgm:prSet presAssocID="{203E615F-5C7B-44F4-8713-195F604AC0EE}" presName="rootText3" presStyleLbl="asst1" presStyleIdx="8" presStyleCnt="32" custScaleX="159742">
        <dgm:presLayoutVars>
          <dgm:chPref val="3"/>
        </dgm:presLayoutVars>
      </dgm:prSet>
      <dgm:spPr/>
    </dgm:pt>
    <dgm:pt modelId="{900016EA-0144-4B43-BE76-C25D5D5983E0}" type="pres">
      <dgm:prSet presAssocID="{203E615F-5C7B-44F4-8713-195F604AC0EE}" presName="rootConnector3" presStyleLbl="asst1" presStyleIdx="8" presStyleCnt="32"/>
      <dgm:spPr/>
    </dgm:pt>
    <dgm:pt modelId="{67668589-9F95-4B75-838A-223DAB7FBDB4}" type="pres">
      <dgm:prSet presAssocID="{203E615F-5C7B-44F4-8713-195F604AC0EE}" presName="hierChild6" presStyleCnt="0"/>
      <dgm:spPr/>
    </dgm:pt>
    <dgm:pt modelId="{14AE6041-EA60-447D-A7C6-F8DE22CA74B1}" type="pres">
      <dgm:prSet presAssocID="{203E615F-5C7B-44F4-8713-195F604AC0EE}" presName="hierChild7" presStyleCnt="0"/>
      <dgm:spPr/>
    </dgm:pt>
    <dgm:pt modelId="{32A7DEE1-46C1-4C98-824E-B761B023C4EF}" type="pres">
      <dgm:prSet presAssocID="{ECD0A62C-09DB-419F-9FD0-54A16E385BDF}" presName="Name111" presStyleLbl="parChTrans1D3" presStyleIdx="2" presStyleCnt="4"/>
      <dgm:spPr/>
    </dgm:pt>
    <dgm:pt modelId="{C3222BC3-DD58-4EAF-BD21-CAFFEE492EA3}" type="pres">
      <dgm:prSet presAssocID="{4FE8EBDC-F4E7-4496-AD9B-33B2DD2FE079}" presName="hierRoot3" presStyleCnt="0">
        <dgm:presLayoutVars>
          <dgm:hierBranch val="init"/>
        </dgm:presLayoutVars>
      </dgm:prSet>
      <dgm:spPr/>
    </dgm:pt>
    <dgm:pt modelId="{DDE4E895-DB86-41BE-8112-D106C74EAE4F}" type="pres">
      <dgm:prSet presAssocID="{4FE8EBDC-F4E7-4496-AD9B-33B2DD2FE079}" presName="rootComposite3" presStyleCnt="0"/>
      <dgm:spPr/>
    </dgm:pt>
    <dgm:pt modelId="{CB07F995-F8B1-4671-B289-54C3B63D028A}" type="pres">
      <dgm:prSet presAssocID="{4FE8EBDC-F4E7-4496-AD9B-33B2DD2FE079}" presName="rootText3" presStyleLbl="asst1" presStyleIdx="9" presStyleCnt="32" custScaleX="235130">
        <dgm:presLayoutVars>
          <dgm:chPref val="3"/>
        </dgm:presLayoutVars>
      </dgm:prSet>
      <dgm:spPr>
        <a:xfrm>
          <a:off x="8025190" y="3719534"/>
          <a:ext cx="2372668" cy="504544"/>
        </a:xfrm>
        <a:prstGeom prst="rect">
          <a:avLst/>
        </a:prstGeom>
      </dgm:spPr>
    </dgm:pt>
    <dgm:pt modelId="{623CA0F5-C272-4B72-ABEE-B7223782C194}" type="pres">
      <dgm:prSet presAssocID="{4FE8EBDC-F4E7-4496-AD9B-33B2DD2FE079}" presName="rootConnector3" presStyleLbl="asst1" presStyleIdx="9" presStyleCnt="32"/>
      <dgm:spPr/>
    </dgm:pt>
    <dgm:pt modelId="{1BFCFA0D-9EF4-40E3-B911-86257FC55B17}" type="pres">
      <dgm:prSet presAssocID="{4FE8EBDC-F4E7-4496-AD9B-33B2DD2FE079}" presName="hierChild6" presStyleCnt="0"/>
      <dgm:spPr/>
    </dgm:pt>
    <dgm:pt modelId="{84EDE6D8-A49A-4B54-8280-730B6A0BB1DD}" type="pres">
      <dgm:prSet presAssocID="{4FE8EBDC-F4E7-4496-AD9B-33B2DD2FE079}" presName="hierChild7" presStyleCnt="0"/>
      <dgm:spPr/>
    </dgm:pt>
    <dgm:pt modelId="{93752990-47C7-4C63-8BA5-1C69E7F5821A}" type="pres">
      <dgm:prSet presAssocID="{AB606A84-92C2-4617-8DD1-B1B6F2E0E7F5}" presName="Name111" presStyleLbl="parChTrans1D4" presStyleIdx="5" presStyleCnt="26"/>
      <dgm:spPr/>
    </dgm:pt>
    <dgm:pt modelId="{29DCF584-2463-44A2-B347-46AB2F96814A}" type="pres">
      <dgm:prSet presAssocID="{90373C00-5E68-47AA-9F3F-10343E9F83F6}" presName="hierRoot3" presStyleCnt="0">
        <dgm:presLayoutVars>
          <dgm:hierBranch val="init"/>
        </dgm:presLayoutVars>
      </dgm:prSet>
      <dgm:spPr/>
    </dgm:pt>
    <dgm:pt modelId="{D30E0CCF-6D6A-47E7-814C-6870CE112E1B}" type="pres">
      <dgm:prSet presAssocID="{90373C00-5E68-47AA-9F3F-10343E9F83F6}" presName="rootComposite3" presStyleCnt="0"/>
      <dgm:spPr/>
    </dgm:pt>
    <dgm:pt modelId="{6107919A-8100-4DAA-AFB3-032367F5622F}" type="pres">
      <dgm:prSet presAssocID="{90373C00-5E68-47AA-9F3F-10343E9F83F6}" presName="rootText3" presStyleLbl="asst1" presStyleIdx="10" presStyleCnt="32">
        <dgm:presLayoutVars>
          <dgm:chPref val="3"/>
        </dgm:presLayoutVars>
      </dgm:prSet>
      <dgm:spPr>
        <a:xfrm>
          <a:off x="7485984" y="4435986"/>
          <a:ext cx="1009088" cy="504544"/>
        </a:xfrm>
        <a:prstGeom prst="rect">
          <a:avLst/>
        </a:prstGeom>
      </dgm:spPr>
    </dgm:pt>
    <dgm:pt modelId="{8F1FFB0A-A0CB-4DC2-8A7A-FD3D814A4BE8}" type="pres">
      <dgm:prSet presAssocID="{90373C00-5E68-47AA-9F3F-10343E9F83F6}" presName="rootConnector3" presStyleLbl="asst1" presStyleIdx="10" presStyleCnt="32"/>
      <dgm:spPr/>
    </dgm:pt>
    <dgm:pt modelId="{245D1A9F-43B4-41A4-9190-FC46DD9F67F9}" type="pres">
      <dgm:prSet presAssocID="{90373C00-5E68-47AA-9F3F-10343E9F83F6}" presName="hierChild6" presStyleCnt="0"/>
      <dgm:spPr/>
    </dgm:pt>
    <dgm:pt modelId="{3D1358A9-450B-4153-A8A4-6A67EB67F9AA}" type="pres">
      <dgm:prSet presAssocID="{90373C00-5E68-47AA-9F3F-10343E9F83F6}" presName="hierChild7" presStyleCnt="0"/>
      <dgm:spPr/>
    </dgm:pt>
    <dgm:pt modelId="{94D59F56-F6C7-41B7-8214-5C5044F4F916}" type="pres">
      <dgm:prSet presAssocID="{E1EB5A33-5038-4331-B8DE-2C30ED22B2EE}" presName="Name111" presStyleLbl="parChTrans1D4" presStyleIdx="6" presStyleCnt="26"/>
      <dgm:spPr/>
    </dgm:pt>
    <dgm:pt modelId="{A1ECF9C1-F8FD-4AFD-A21B-215805E12211}" type="pres">
      <dgm:prSet presAssocID="{86443D66-1FF0-4756-95DD-ECC227FB71A7}" presName="hierRoot3" presStyleCnt="0">
        <dgm:presLayoutVars>
          <dgm:hierBranch val="init"/>
        </dgm:presLayoutVars>
      </dgm:prSet>
      <dgm:spPr/>
    </dgm:pt>
    <dgm:pt modelId="{65AB0F2D-EA6F-42AC-81AE-731FBF23AAB8}" type="pres">
      <dgm:prSet presAssocID="{86443D66-1FF0-4756-95DD-ECC227FB71A7}" presName="rootComposite3" presStyleCnt="0"/>
      <dgm:spPr/>
    </dgm:pt>
    <dgm:pt modelId="{69CE16EC-8896-47A8-AB40-B3DDB86D9F03}" type="pres">
      <dgm:prSet presAssocID="{86443D66-1FF0-4756-95DD-ECC227FB71A7}" presName="rootText3" presStyleLbl="asst1" presStyleIdx="11" presStyleCnt="32">
        <dgm:presLayoutVars>
          <dgm:chPref val="3"/>
        </dgm:presLayoutVars>
      </dgm:prSet>
      <dgm:spPr/>
    </dgm:pt>
    <dgm:pt modelId="{132E3C14-8D28-4208-A130-D3C603B6E140}" type="pres">
      <dgm:prSet presAssocID="{86443D66-1FF0-4756-95DD-ECC227FB71A7}" presName="rootConnector3" presStyleLbl="asst1" presStyleIdx="11" presStyleCnt="32"/>
      <dgm:spPr/>
    </dgm:pt>
    <dgm:pt modelId="{8D026E1B-BDF1-44D9-950B-05168E4E553E}" type="pres">
      <dgm:prSet presAssocID="{86443D66-1FF0-4756-95DD-ECC227FB71A7}" presName="hierChild6" presStyleCnt="0"/>
      <dgm:spPr/>
    </dgm:pt>
    <dgm:pt modelId="{56F3F18D-B44A-44B1-ADEF-261F2ACF9D44}" type="pres">
      <dgm:prSet presAssocID="{86443D66-1FF0-4756-95DD-ECC227FB71A7}" presName="hierChild7" presStyleCnt="0"/>
      <dgm:spPr/>
    </dgm:pt>
    <dgm:pt modelId="{5C27D178-A63A-4E24-B490-E79A2F631056}" type="pres">
      <dgm:prSet presAssocID="{44FAC367-ADAB-4303-B7C8-4AD4F3E31EEB}" presName="Name111" presStyleLbl="parChTrans1D4" presStyleIdx="7" presStyleCnt="26"/>
      <dgm:spPr/>
    </dgm:pt>
    <dgm:pt modelId="{C619C32C-3E07-4C91-9B1C-7512EB50411A}" type="pres">
      <dgm:prSet presAssocID="{AB4F41D4-A32F-4DE4-9128-25525A0A4062}" presName="hierRoot3" presStyleCnt="0">
        <dgm:presLayoutVars>
          <dgm:hierBranch val="init"/>
        </dgm:presLayoutVars>
      </dgm:prSet>
      <dgm:spPr/>
    </dgm:pt>
    <dgm:pt modelId="{40A006B4-9A66-4861-88D1-67CB2F8562E8}" type="pres">
      <dgm:prSet presAssocID="{AB4F41D4-A32F-4DE4-9128-25525A0A4062}" presName="rootComposite3" presStyleCnt="0"/>
      <dgm:spPr/>
    </dgm:pt>
    <dgm:pt modelId="{20BCC644-167B-4747-B275-E611ADB7B740}" type="pres">
      <dgm:prSet presAssocID="{AB4F41D4-A32F-4DE4-9128-25525A0A4062}" presName="rootText3" presStyleLbl="asst1" presStyleIdx="12" presStyleCnt="32">
        <dgm:presLayoutVars>
          <dgm:chPref val="3"/>
        </dgm:presLayoutVars>
      </dgm:prSet>
      <dgm:spPr/>
    </dgm:pt>
    <dgm:pt modelId="{EBB52A5A-D728-4446-B3F5-1439D10DF557}" type="pres">
      <dgm:prSet presAssocID="{AB4F41D4-A32F-4DE4-9128-25525A0A4062}" presName="rootConnector3" presStyleLbl="asst1" presStyleIdx="12" presStyleCnt="32"/>
      <dgm:spPr/>
    </dgm:pt>
    <dgm:pt modelId="{7B8363C4-0036-4742-ABD9-251548E42031}" type="pres">
      <dgm:prSet presAssocID="{AB4F41D4-A32F-4DE4-9128-25525A0A4062}" presName="hierChild6" presStyleCnt="0"/>
      <dgm:spPr/>
    </dgm:pt>
    <dgm:pt modelId="{EC9E8287-6919-4DB0-9352-19CF46AFE11F}" type="pres">
      <dgm:prSet presAssocID="{AB4F41D4-A32F-4DE4-9128-25525A0A4062}" presName="hierChild7" presStyleCnt="0"/>
      <dgm:spPr/>
    </dgm:pt>
    <dgm:pt modelId="{94BD7E82-9F96-480D-BF25-E80C18A3ABCC}" type="pres">
      <dgm:prSet presAssocID="{EDD9E9A7-5ED0-4942-B295-F0243AA58834}" presName="Name111" presStyleLbl="parChTrans1D4" presStyleIdx="8" presStyleCnt="26"/>
      <dgm:spPr/>
    </dgm:pt>
    <dgm:pt modelId="{0EEA9C4B-7C6F-4DCB-937F-DC7B3404BF0B}" type="pres">
      <dgm:prSet presAssocID="{F4592B1A-CED5-44A5-BE0A-9CA89A900E0B}" presName="hierRoot3" presStyleCnt="0">
        <dgm:presLayoutVars>
          <dgm:hierBranch val="init"/>
        </dgm:presLayoutVars>
      </dgm:prSet>
      <dgm:spPr/>
    </dgm:pt>
    <dgm:pt modelId="{D1B75A0E-C5BC-40F9-80CC-A57DF67C5C93}" type="pres">
      <dgm:prSet presAssocID="{F4592B1A-CED5-44A5-BE0A-9CA89A900E0B}" presName="rootComposite3" presStyleCnt="0"/>
      <dgm:spPr/>
    </dgm:pt>
    <dgm:pt modelId="{82F7E914-7B66-4772-80C5-FC33645EB2DB}" type="pres">
      <dgm:prSet presAssocID="{F4592B1A-CED5-44A5-BE0A-9CA89A900E0B}" presName="rootText3" presStyleLbl="asst1" presStyleIdx="13" presStyleCnt="32">
        <dgm:presLayoutVars>
          <dgm:chPref val="3"/>
        </dgm:presLayoutVars>
      </dgm:prSet>
      <dgm:spPr>
        <a:xfrm>
          <a:off x="11585586" y="4435986"/>
          <a:ext cx="1009088" cy="504544"/>
        </a:xfrm>
        <a:prstGeom prst="rect">
          <a:avLst/>
        </a:prstGeom>
      </dgm:spPr>
    </dgm:pt>
    <dgm:pt modelId="{C691F20A-2FEA-46EA-A9AA-C89A0945BDC3}" type="pres">
      <dgm:prSet presAssocID="{F4592B1A-CED5-44A5-BE0A-9CA89A900E0B}" presName="rootConnector3" presStyleLbl="asst1" presStyleIdx="13" presStyleCnt="32"/>
      <dgm:spPr/>
    </dgm:pt>
    <dgm:pt modelId="{D8F79FEA-8F4D-439C-BA75-C14D05E0BF04}" type="pres">
      <dgm:prSet presAssocID="{F4592B1A-CED5-44A5-BE0A-9CA89A900E0B}" presName="hierChild6" presStyleCnt="0"/>
      <dgm:spPr/>
    </dgm:pt>
    <dgm:pt modelId="{31CA1B17-2A4C-4CB7-A81D-18B2DFEB4EE4}" type="pres">
      <dgm:prSet presAssocID="{F4592B1A-CED5-44A5-BE0A-9CA89A900E0B}" presName="hierChild7" presStyleCnt="0"/>
      <dgm:spPr/>
    </dgm:pt>
    <dgm:pt modelId="{96325B5F-A91F-4B78-83F6-68B35E247A6A}" type="pres">
      <dgm:prSet presAssocID="{156B12F6-6B82-4B4A-B82A-CE3C4D11E9C2}" presName="Name111" presStyleLbl="parChTrans1D4" presStyleIdx="9" presStyleCnt="26"/>
      <dgm:spPr/>
    </dgm:pt>
    <dgm:pt modelId="{36251FD5-8D28-49B7-ABF3-B8ABAAD26F52}" type="pres">
      <dgm:prSet presAssocID="{34272F97-9966-4D22-A40E-E6000C3CE4E7}" presName="hierRoot3" presStyleCnt="0">
        <dgm:presLayoutVars>
          <dgm:hierBranch val="init"/>
        </dgm:presLayoutVars>
      </dgm:prSet>
      <dgm:spPr/>
    </dgm:pt>
    <dgm:pt modelId="{BF82EBAD-4129-478F-8968-32D123D8482B}" type="pres">
      <dgm:prSet presAssocID="{34272F97-9966-4D22-A40E-E6000C3CE4E7}" presName="rootComposite3" presStyleCnt="0"/>
      <dgm:spPr/>
    </dgm:pt>
    <dgm:pt modelId="{809A3BC2-E954-45CE-8902-E67F964F0EA9}" type="pres">
      <dgm:prSet presAssocID="{34272F97-9966-4D22-A40E-E6000C3CE4E7}" presName="rootText3" presStyleLbl="asst1" presStyleIdx="14" presStyleCnt="32" custScaleX="207620" custScaleY="263869">
        <dgm:presLayoutVars>
          <dgm:chPref val="3"/>
        </dgm:presLayoutVars>
      </dgm:prSet>
      <dgm:spPr>
        <a:xfrm>
          <a:off x="9530780" y="5152439"/>
          <a:ext cx="2095068" cy="1331335"/>
        </a:xfrm>
        <a:prstGeom prst="rect">
          <a:avLst/>
        </a:prstGeom>
      </dgm:spPr>
    </dgm:pt>
    <dgm:pt modelId="{B069BB21-9F76-4481-B55B-FE63F795F87E}" type="pres">
      <dgm:prSet presAssocID="{34272F97-9966-4D22-A40E-E6000C3CE4E7}" presName="rootConnector3" presStyleLbl="asst1" presStyleIdx="14" presStyleCnt="32"/>
      <dgm:spPr/>
    </dgm:pt>
    <dgm:pt modelId="{D37DBF11-5AF5-4667-A6CC-31E88D76C730}" type="pres">
      <dgm:prSet presAssocID="{34272F97-9966-4D22-A40E-E6000C3CE4E7}" presName="hierChild6" presStyleCnt="0"/>
      <dgm:spPr/>
    </dgm:pt>
    <dgm:pt modelId="{E3C02043-5861-4EC0-B1BD-EC27B2EB9489}" type="pres">
      <dgm:prSet presAssocID="{34272F97-9966-4D22-A40E-E6000C3CE4E7}" presName="hierChild7" presStyleCnt="0"/>
      <dgm:spPr/>
    </dgm:pt>
    <dgm:pt modelId="{6C9353EB-805B-442D-91AF-72DBD97C1BD7}" type="pres">
      <dgm:prSet presAssocID="{47945B8A-0BFC-4199-B8CB-7F67359084D0}" presName="Name111" presStyleLbl="parChTrans1D4" presStyleIdx="10" presStyleCnt="26"/>
      <dgm:spPr/>
    </dgm:pt>
    <dgm:pt modelId="{0F8521B7-8BF6-4562-8A1C-62212BCE04C5}" type="pres">
      <dgm:prSet presAssocID="{85033BE6-C2A2-407B-A087-7CE4DEF23F66}" presName="hierRoot3" presStyleCnt="0">
        <dgm:presLayoutVars>
          <dgm:hierBranch val="init"/>
        </dgm:presLayoutVars>
      </dgm:prSet>
      <dgm:spPr/>
    </dgm:pt>
    <dgm:pt modelId="{26B92E3F-8051-406C-A579-7B37ED90A810}" type="pres">
      <dgm:prSet presAssocID="{85033BE6-C2A2-407B-A087-7CE4DEF23F66}" presName="rootComposite3" presStyleCnt="0"/>
      <dgm:spPr/>
    </dgm:pt>
    <dgm:pt modelId="{FA813941-086E-45C8-BDA3-C805F77C04EA}" type="pres">
      <dgm:prSet presAssocID="{85033BE6-C2A2-407B-A087-7CE4DEF23F66}" presName="rootText3" presStyleLbl="asst1" presStyleIdx="15" presStyleCnt="32" custScaleX="114448" custScaleY="141467">
        <dgm:presLayoutVars>
          <dgm:chPref val="3"/>
        </dgm:presLayoutVars>
      </dgm:prSet>
      <dgm:spPr>
        <a:xfrm>
          <a:off x="7622898" y="6099985"/>
          <a:ext cx="1374255" cy="849345"/>
        </a:xfrm>
        <a:prstGeom prst="rect">
          <a:avLst/>
        </a:prstGeom>
      </dgm:spPr>
    </dgm:pt>
    <dgm:pt modelId="{609B2F67-E5C1-49A3-B2A4-1CF9E5154E6A}" type="pres">
      <dgm:prSet presAssocID="{85033BE6-C2A2-407B-A087-7CE4DEF23F66}" presName="rootConnector3" presStyleLbl="asst1" presStyleIdx="15" presStyleCnt="32"/>
      <dgm:spPr/>
    </dgm:pt>
    <dgm:pt modelId="{E4FDB59F-4E39-436D-990A-2EE98A591214}" type="pres">
      <dgm:prSet presAssocID="{85033BE6-C2A2-407B-A087-7CE4DEF23F66}" presName="hierChild6" presStyleCnt="0"/>
      <dgm:spPr/>
    </dgm:pt>
    <dgm:pt modelId="{B06E5EBD-8821-4B4E-8EBB-F37167177D55}" type="pres">
      <dgm:prSet presAssocID="{85033BE6-C2A2-407B-A087-7CE4DEF23F66}" presName="hierChild7" presStyleCnt="0"/>
      <dgm:spPr/>
    </dgm:pt>
    <dgm:pt modelId="{BFAC3BAC-3696-4BA0-A877-29A97AF2CC5F}" type="pres">
      <dgm:prSet presAssocID="{640F36C4-5FCC-4D6E-AAA3-0CAEDEBA2B05}" presName="Name111" presStyleLbl="parChTrans1D4" presStyleIdx="11" presStyleCnt="26"/>
      <dgm:spPr/>
    </dgm:pt>
    <dgm:pt modelId="{6A6DBEA8-7F6E-4C14-AE9F-F9051816F16F}" type="pres">
      <dgm:prSet presAssocID="{E0735B4A-B032-4A5D-902A-DB371A194639}" presName="hierRoot3" presStyleCnt="0">
        <dgm:presLayoutVars>
          <dgm:hierBranch val="init"/>
        </dgm:presLayoutVars>
      </dgm:prSet>
      <dgm:spPr/>
    </dgm:pt>
    <dgm:pt modelId="{D5F79D06-74EA-4555-B3BD-439CB47228E3}" type="pres">
      <dgm:prSet presAssocID="{E0735B4A-B032-4A5D-902A-DB371A194639}" presName="rootComposite3" presStyleCnt="0"/>
      <dgm:spPr/>
    </dgm:pt>
    <dgm:pt modelId="{577107F5-1B5A-413F-AD08-29E0222300F8}" type="pres">
      <dgm:prSet presAssocID="{E0735B4A-B032-4A5D-902A-DB371A194639}" presName="rootText3" presStyleLbl="asst1" presStyleIdx="16" presStyleCnt="32">
        <dgm:presLayoutVars>
          <dgm:chPref val="3"/>
        </dgm:presLayoutVars>
      </dgm:prSet>
      <dgm:spPr>
        <a:xfrm>
          <a:off x="9249315" y="6099985"/>
          <a:ext cx="1200768" cy="600384"/>
        </a:xfrm>
        <a:prstGeom prst="rect">
          <a:avLst/>
        </a:prstGeom>
      </dgm:spPr>
    </dgm:pt>
    <dgm:pt modelId="{2ABBE4DC-18FF-4AF2-9D45-5202F0A9DE31}" type="pres">
      <dgm:prSet presAssocID="{E0735B4A-B032-4A5D-902A-DB371A194639}" presName="rootConnector3" presStyleLbl="asst1" presStyleIdx="16" presStyleCnt="32"/>
      <dgm:spPr/>
    </dgm:pt>
    <dgm:pt modelId="{65DA8E59-B8D6-4DE5-8EBC-76A29783B68C}" type="pres">
      <dgm:prSet presAssocID="{E0735B4A-B032-4A5D-902A-DB371A194639}" presName="hierChild6" presStyleCnt="0"/>
      <dgm:spPr/>
    </dgm:pt>
    <dgm:pt modelId="{962A2CDF-F1B2-47A1-AB11-64AB7A2DF003}" type="pres">
      <dgm:prSet presAssocID="{E0735B4A-B032-4A5D-902A-DB371A194639}" presName="hierChild7" presStyleCnt="0"/>
      <dgm:spPr/>
    </dgm:pt>
    <dgm:pt modelId="{3D71D841-712F-4D76-89F3-0DB7A1D26C62}" type="pres">
      <dgm:prSet presAssocID="{5616111F-9F3E-480C-BFEE-AAF848FCA207}" presName="Name111" presStyleLbl="parChTrans1D4" presStyleIdx="12" presStyleCnt="26"/>
      <dgm:spPr/>
    </dgm:pt>
    <dgm:pt modelId="{AE12886A-ACF6-419F-A7E1-C3FAB4F80506}" type="pres">
      <dgm:prSet presAssocID="{9C5BCDB9-E570-49C8-A5DA-0D8413FCF68F}" presName="hierRoot3" presStyleCnt="0">
        <dgm:presLayoutVars>
          <dgm:hierBranch val="init"/>
        </dgm:presLayoutVars>
      </dgm:prSet>
      <dgm:spPr/>
    </dgm:pt>
    <dgm:pt modelId="{9D147B8F-CE18-4FB5-9504-303CBA2B1C00}" type="pres">
      <dgm:prSet presAssocID="{9C5BCDB9-E570-49C8-A5DA-0D8413FCF68F}" presName="rootComposite3" presStyleCnt="0"/>
      <dgm:spPr/>
    </dgm:pt>
    <dgm:pt modelId="{72D0C764-7266-4F7A-852C-E14081109DAB}" type="pres">
      <dgm:prSet presAssocID="{9C5BCDB9-E570-49C8-A5DA-0D8413FCF68F}" presName="rootText3" presStyleLbl="asst1" presStyleIdx="17" presStyleCnt="32">
        <dgm:presLayoutVars>
          <dgm:chPref val="3"/>
        </dgm:presLayoutVars>
      </dgm:prSet>
      <dgm:spPr>
        <a:xfrm>
          <a:off x="7622898" y="7201493"/>
          <a:ext cx="1200768" cy="600384"/>
        </a:xfrm>
        <a:prstGeom prst="rect">
          <a:avLst/>
        </a:prstGeom>
      </dgm:spPr>
    </dgm:pt>
    <dgm:pt modelId="{63432DA4-4F80-42E6-8F19-48194E307AE8}" type="pres">
      <dgm:prSet presAssocID="{9C5BCDB9-E570-49C8-A5DA-0D8413FCF68F}" presName="rootConnector3" presStyleLbl="asst1" presStyleIdx="17" presStyleCnt="32"/>
      <dgm:spPr/>
    </dgm:pt>
    <dgm:pt modelId="{3C5EDBE8-D688-4720-8D5B-D91468CC3B43}" type="pres">
      <dgm:prSet presAssocID="{9C5BCDB9-E570-49C8-A5DA-0D8413FCF68F}" presName="hierChild6" presStyleCnt="0"/>
      <dgm:spPr/>
    </dgm:pt>
    <dgm:pt modelId="{74BE7A73-A0FE-48C0-8AFE-B21DA5AF2E0D}" type="pres">
      <dgm:prSet presAssocID="{9C5BCDB9-E570-49C8-A5DA-0D8413FCF68F}" presName="hierChild7" presStyleCnt="0"/>
      <dgm:spPr/>
    </dgm:pt>
    <dgm:pt modelId="{76D7FB3D-ED2C-49A0-9E53-D30377B734F8}" type="pres">
      <dgm:prSet presAssocID="{FB30EF49-9C25-4D0B-8BE1-8431BDCE595B}" presName="Name111" presStyleLbl="parChTrans1D4" presStyleIdx="13" presStyleCnt="26"/>
      <dgm:spPr/>
    </dgm:pt>
    <dgm:pt modelId="{9D14125E-557D-48D9-88DE-12A99743CBC3}" type="pres">
      <dgm:prSet presAssocID="{3476632C-3E60-4C5E-B95F-1296483B3F54}" presName="hierRoot3" presStyleCnt="0">
        <dgm:presLayoutVars>
          <dgm:hierBranch val="init"/>
        </dgm:presLayoutVars>
      </dgm:prSet>
      <dgm:spPr/>
    </dgm:pt>
    <dgm:pt modelId="{A07B970D-2476-4C43-817A-262C147F693C}" type="pres">
      <dgm:prSet presAssocID="{3476632C-3E60-4C5E-B95F-1296483B3F54}" presName="rootComposite3" presStyleCnt="0"/>
      <dgm:spPr/>
    </dgm:pt>
    <dgm:pt modelId="{FF195630-AB66-4658-A4DC-FCC1F9C911F0}" type="pres">
      <dgm:prSet presAssocID="{3476632C-3E60-4C5E-B95F-1296483B3F54}" presName="rootText3" presStyleLbl="asst1" presStyleIdx="18" presStyleCnt="32">
        <dgm:presLayoutVars>
          <dgm:chPref val="3"/>
        </dgm:presLayoutVars>
      </dgm:prSet>
      <dgm:spPr>
        <a:xfrm>
          <a:off x="9249315" y="7201493"/>
          <a:ext cx="1200768" cy="600384"/>
        </a:xfrm>
        <a:prstGeom prst="rect">
          <a:avLst/>
        </a:prstGeom>
      </dgm:spPr>
    </dgm:pt>
    <dgm:pt modelId="{A0E0C018-87ED-4AA5-88F0-460A59AB9FF9}" type="pres">
      <dgm:prSet presAssocID="{3476632C-3E60-4C5E-B95F-1296483B3F54}" presName="rootConnector3" presStyleLbl="asst1" presStyleIdx="18" presStyleCnt="32"/>
      <dgm:spPr/>
    </dgm:pt>
    <dgm:pt modelId="{331FCD5A-1290-4294-B340-7423B5D88C8F}" type="pres">
      <dgm:prSet presAssocID="{3476632C-3E60-4C5E-B95F-1296483B3F54}" presName="hierChild6" presStyleCnt="0"/>
      <dgm:spPr/>
    </dgm:pt>
    <dgm:pt modelId="{CBC52FFA-F02D-4346-92BE-0F565C6F86B1}" type="pres">
      <dgm:prSet presAssocID="{3476632C-3E60-4C5E-B95F-1296483B3F54}" presName="hierChild7" presStyleCnt="0"/>
      <dgm:spPr/>
    </dgm:pt>
    <dgm:pt modelId="{54344BF7-E9DC-4C6B-8742-C1203F77DADC}" type="pres">
      <dgm:prSet presAssocID="{FEF9ADFA-C473-4386-BB8B-414C3CDC102C}" presName="Name111" presStyleLbl="parChTrans1D4" presStyleIdx="14" presStyleCnt="26"/>
      <dgm:spPr/>
    </dgm:pt>
    <dgm:pt modelId="{C6993ED5-7723-48FE-8AF6-308683D14006}" type="pres">
      <dgm:prSet presAssocID="{0FBB793C-D5BD-409E-93EA-43D50DBA91BD}" presName="hierRoot3" presStyleCnt="0">
        <dgm:presLayoutVars>
          <dgm:hierBranch val="init"/>
        </dgm:presLayoutVars>
      </dgm:prSet>
      <dgm:spPr/>
    </dgm:pt>
    <dgm:pt modelId="{5227ACA8-E4B3-4DCA-8984-256D9DB6CA57}" type="pres">
      <dgm:prSet presAssocID="{0FBB793C-D5BD-409E-93EA-43D50DBA91BD}" presName="rootComposite3" presStyleCnt="0"/>
      <dgm:spPr/>
    </dgm:pt>
    <dgm:pt modelId="{5CC2977C-E0B9-45DA-8467-2E2134C30FF7}" type="pres">
      <dgm:prSet presAssocID="{0FBB793C-D5BD-409E-93EA-43D50DBA91BD}" presName="rootText3" presStyleLbl="asst1" presStyleIdx="19" presStyleCnt="32">
        <dgm:presLayoutVars>
          <dgm:chPref val="3"/>
        </dgm:presLayoutVars>
      </dgm:prSet>
      <dgm:spPr>
        <a:xfrm>
          <a:off x="7622898" y="8054039"/>
          <a:ext cx="1200768" cy="600384"/>
        </a:xfrm>
        <a:prstGeom prst="rect">
          <a:avLst/>
        </a:prstGeom>
      </dgm:spPr>
    </dgm:pt>
    <dgm:pt modelId="{C022E808-6F97-4B49-8F24-69F1D40597CF}" type="pres">
      <dgm:prSet presAssocID="{0FBB793C-D5BD-409E-93EA-43D50DBA91BD}" presName="rootConnector3" presStyleLbl="asst1" presStyleIdx="19" presStyleCnt="32"/>
      <dgm:spPr/>
    </dgm:pt>
    <dgm:pt modelId="{7C21C82F-3095-4CE8-9603-D6DD7541C6C5}" type="pres">
      <dgm:prSet presAssocID="{0FBB793C-D5BD-409E-93EA-43D50DBA91BD}" presName="hierChild6" presStyleCnt="0"/>
      <dgm:spPr/>
    </dgm:pt>
    <dgm:pt modelId="{47DFA2A9-B9A9-4807-927C-77039C1F4E7E}" type="pres">
      <dgm:prSet presAssocID="{0FBB793C-D5BD-409E-93EA-43D50DBA91BD}" presName="hierChild7" presStyleCnt="0"/>
      <dgm:spPr/>
    </dgm:pt>
    <dgm:pt modelId="{BEA14751-1ADD-4D02-87D7-2FFC8888D33C}" type="pres">
      <dgm:prSet presAssocID="{E9EC0062-112D-43EE-B619-FCCA76F8F530}" presName="Name111" presStyleLbl="parChTrans1D4" presStyleIdx="15" presStyleCnt="26"/>
      <dgm:spPr/>
    </dgm:pt>
    <dgm:pt modelId="{47CF3DC5-2619-4B66-BC12-CA91BF28AB88}" type="pres">
      <dgm:prSet presAssocID="{9F3D72FC-DC74-446E-A4A8-BBE973EB5BB4}" presName="hierRoot3" presStyleCnt="0">
        <dgm:presLayoutVars>
          <dgm:hierBranch val="init"/>
        </dgm:presLayoutVars>
      </dgm:prSet>
      <dgm:spPr/>
    </dgm:pt>
    <dgm:pt modelId="{610E3879-0A44-4BBB-B26C-1BDDE470E55A}" type="pres">
      <dgm:prSet presAssocID="{9F3D72FC-DC74-446E-A4A8-BBE973EB5BB4}" presName="rootComposite3" presStyleCnt="0"/>
      <dgm:spPr/>
    </dgm:pt>
    <dgm:pt modelId="{42591F93-1699-46C3-8F3D-DFEF2D2A1DD4}" type="pres">
      <dgm:prSet presAssocID="{9F3D72FC-DC74-446E-A4A8-BBE973EB5BB4}" presName="rootText3" presStyleLbl="asst1" presStyleIdx="20" presStyleCnt="32">
        <dgm:presLayoutVars>
          <dgm:chPref val="3"/>
        </dgm:presLayoutVars>
      </dgm:prSet>
      <dgm:spPr>
        <a:xfrm>
          <a:off x="9249315" y="8054039"/>
          <a:ext cx="1200768" cy="600384"/>
        </a:xfrm>
        <a:prstGeom prst="rect">
          <a:avLst/>
        </a:prstGeom>
      </dgm:spPr>
    </dgm:pt>
    <dgm:pt modelId="{FA8B7401-6303-4DAD-86A2-B3F875CCBC68}" type="pres">
      <dgm:prSet presAssocID="{9F3D72FC-DC74-446E-A4A8-BBE973EB5BB4}" presName="rootConnector3" presStyleLbl="asst1" presStyleIdx="20" presStyleCnt="32"/>
      <dgm:spPr/>
    </dgm:pt>
    <dgm:pt modelId="{E0A36100-C8FC-4222-AD06-E3F46E8DCC92}" type="pres">
      <dgm:prSet presAssocID="{9F3D72FC-DC74-446E-A4A8-BBE973EB5BB4}" presName="hierChild6" presStyleCnt="0"/>
      <dgm:spPr/>
    </dgm:pt>
    <dgm:pt modelId="{C2E53BFC-5B87-4DFC-841A-966A0BCD701C}" type="pres">
      <dgm:prSet presAssocID="{9F3D72FC-DC74-446E-A4A8-BBE973EB5BB4}" presName="hierChild7" presStyleCnt="0"/>
      <dgm:spPr/>
    </dgm:pt>
    <dgm:pt modelId="{09483BB6-3096-43E2-925D-5544951B95F6}" type="pres">
      <dgm:prSet presAssocID="{48DDC5B7-82DB-4312-8F11-711D5A3F29CD}" presName="Name111" presStyleLbl="parChTrans1D4" presStyleIdx="16" presStyleCnt="26"/>
      <dgm:spPr/>
    </dgm:pt>
    <dgm:pt modelId="{DA82A02E-DFB4-4ABD-B4F2-2CBF646262F9}" type="pres">
      <dgm:prSet presAssocID="{55202F3C-4C51-4544-92A6-B9C8AD8E741C}" presName="hierRoot3" presStyleCnt="0">
        <dgm:presLayoutVars>
          <dgm:hierBranch val="init"/>
        </dgm:presLayoutVars>
      </dgm:prSet>
      <dgm:spPr/>
    </dgm:pt>
    <dgm:pt modelId="{0D972A0B-87F9-4FBE-8EFC-710F7805AAF5}" type="pres">
      <dgm:prSet presAssocID="{55202F3C-4C51-4544-92A6-B9C8AD8E741C}" presName="rootComposite3" presStyleCnt="0"/>
      <dgm:spPr/>
    </dgm:pt>
    <dgm:pt modelId="{1E54B4CC-A68C-45BE-AD11-6AA516C3D92C}" type="pres">
      <dgm:prSet presAssocID="{55202F3C-4C51-4544-92A6-B9C8AD8E741C}" presName="rootText3" presStyleLbl="asst1" presStyleIdx="21" presStyleCnt="32">
        <dgm:presLayoutVars>
          <dgm:chPref val="3"/>
        </dgm:presLayoutVars>
      </dgm:prSet>
      <dgm:spPr>
        <a:xfrm>
          <a:off x="7622898" y="8906584"/>
          <a:ext cx="1200768" cy="600384"/>
        </a:xfrm>
        <a:prstGeom prst="rect">
          <a:avLst/>
        </a:prstGeom>
      </dgm:spPr>
    </dgm:pt>
    <dgm:pt modelId="{DF46B9B1-EAF8-4DDB-8874-5B2BBCFE345E}" type="pres">
      <dgm:prSet presAssocID="{55202F3C-4C51-4544-92A6-B9C8AD8E741C}" presName="rootConnector3" presStyleLbl="asst1" presStyleIdx="21" presStyleCnt="32"/>
      <dgm:spPr/>
    </dgm:pt>
    <dgm:pt modelId="{8186BDEB-4670-4977-BD41-C720C10D2807}" type="pres">
      <dgm:prSet presAssocID="{55202F3C-4C51-4544-92A6-B9C8AD8E741C}" presName="hierChild6" presStyleCnt="0"/>
      <dgm:spPr/>
    </dgm:pt>
    <dgm:pt modelId="{83444892-A276-42CF-8970-D9C2AC54404C}" type="pres">
      <dgm:prSet presAssocID="{55202F3C-4C51-4544-92A6-B9C8AD8E741C}" presName="hierChild7" presStyleCnt="0"/>
      <dgm:spPr/>
    </dgm:pt>
    <dgm:pt modelId="{9F3CFC88-E747-4218-8D7B-03BD7743712A}" type="pres">
      <dgm:prSet presAssocID="{0C953AF7-5F5F-4428-9D9E-143AB6D9CD44}" presName="Name111" presStyleLbl="parChTrans1D4" presStyleIdx="17" presStyleCnt="26"/>
      <dgm:spPr/>
    </dgm:pt>
    <dgm:pt modelId="{FA9AE82D-C63B-4EC9-9B20-C3439A193A6E}" type="pres">
      <dgm:prSet presAssocID="{F5115B59-5952-4CE5-9961-84F5EE4AB0C7}" presName="hierRoot3" presStyleCnt="0">
        <dgm:presLayoutVars>
          <dgm:hierBranch val="init"/>
        </dgm:presLayoutVars>
      </dgm:prSet>
      <dgm:spPr/>
    </dgm:pt>
    <dgm:pt modelId="{E3CBE65A-FAFE-49B8-92C8-C1FD4EDDE6B8}" type="pres">
      <dgm:prSet presAssocID="{F5115B59-5952-4CE5-9961-84F5EE4AB0C7}" presName="rootComposite3" presStyleCnt="0"/>
      <dgm:spPr/>
    </dgm:pt>
    <dgm:pt modelId="{28CEB212-7E77-435C-88DE-D634967D06FA}" type="pres">
      <dgm:prSet presAssocID="{F5115B59-5952-4CE5-9961-84F5EE4AB0C7}" presName="rootText3" presStyleLbl="asst1" presStyleIdx="22" presStyleCnt="32" custScaleX="128820" custScaleY="154410">
        <dgm:presLayoutVars>
          <dgm:chPref val="3"/>
        </dgm:presLayoutVars>
      </dgm:prSet>
      <dgm:spPr>
        <a:xfrm>
          <a:off x="9249315" y="8906584"/>
          <a:ext cx="1546830" cy="927053"/>
        </a:xfrm>
        <a:prstGeom prst="rect">
          <a:avLst/>
        </a:prstGeom>
      </dgm:spPr>
    </dgm:pt>
    <dgm:pt modelId="{C8B88319-6A7D-46A8-ACAE-2F8B11360A94}" type="pres">
      <dgm:prSet presAssocID="{F5115B59-5952-4CE5-9961-84F5EE4AB0C7}" presName="rootConnector3" presStyleLbl="asst1" presStyleIdx="22" presStyleCnt="32"/>
      <dgm:spPr/>
    </dgm:pt>
    <dgm:pt modelId="{CF3FD52E-D36C-4A18-B11F-6910BC2FC403}" type="pres">
      <dgm:prSet presAssocID="{F5115B59-5952-4CE5-9961-84F5EE4AB0C7}" presName="hierChild6" presStyleCnt="0"/>
      <dgm:spPr/>
    </dgm:pt>
    <dgm:pt modelId="{19F323A0-4236-4333-91C7-87D738696638}" type="pres">
      <dgm:prSet presAssocID="{F5115B59-5952-4CE5-9961-84F5EE4AB0C7}" presName="hierChild7" presStyleCnt="0"/>
      <dgm:spPr/>
    </dgm:pt>
    <dgm:pt modelId="{9D019E90-04F4-4D59-8870-10660B2E579F}" type="pres">
      <dgm:prSet presAssocID="{B5251A56-B076-42D4-A0C4-5FF6CED31AA1}" presName="Name111" presStyleLbl="parChTrans1D4" presStyleIdx="18" presStyleCnt="26"/>
      <dgm:spPr/>
    </dgm:pt>
    <dgm:pt modelId="{C56B79AD-5486-4232-8CD1-9E6FA7810391}" type="pres">
      <dgm:prSet presAssocID="{43951C17-FEF8-43A2-9EFB-001DD19CDBE0}" presName="hierRoot3" presStyleCnt="0">
        <dgm:presLayoutVars>
          <dgm:hierBranch val="init"/>
        </dgm:presLayoutVars>
      </dgm:prSet>
      <dgm:spPr/>
    </dgm:pt>
    <dgm:pt modelId="{F98DAD5B-DF5D-4469-AF0C-85B5EE51E5B0}" type="pres">
      <dgm:prSet presAssocID="{43951C17-FEF8-43A2-9EFB-001DD19CDBE0}" presName="rootComposite3" presStyleCnt="0"/>
      <dgm:spPr/>
    </dgm:pt>
    <dgm:pt modelId="{FD33FE1A-0E52-4570-AEEE-358E062CB036}" type="pres">
      <dgm:prSet presAssocID="{43951C17-FEF8-43A2-9EFB-001DD19CDBE0}" presName="rootText3" presStyleLbl="asst1" presStyleIdx="23" presStyleCnt="32">
        <dgm:presLayoutVars>
          <dgm:chPref val="3"/>
        </dgm:presLayoutVars>
      </dgm:prSet>
      <dgm:spPr>
        <a:xfrm>
          <a:off x="7622898" y="10085800"/>
          <a:ext cx="1200768" cy="600384"/>
        </a:xfrm>
        <a:prstGeom prst="rect">
          <a:avLst/>
        </a:prstGeom>
      </dgm:spPr>
    </dgm:pt>
    <dgm:pt modelId="{74CF39B5-FA89-4D06-A802-BBD6C523EF8B}" type="pres">
      <dgm:prSet presAssocID="{43951C17-FEF8-43A2-9EFB-001DD19CDBE0}" presName="rootConnector3" presStyleLbl="asst1" presStyleIdx="23" presStyleCnt="32"/>
      <dgm:spPr/>
    </dgm:pt>
    <dgm:pt modelId="{21DAC9D9-3EB5-44A7-AA4D-DD6A568C19E4}" type="pres">
      <dgm:prSet presAssocID="{43951C17-FEF8-43A2-9EFB-001DD19CDBE0}" presName="hierChild6" presStyleCnt="0"/>
      <dgm:spPr/>
    </dgm:pt>
    <dgm:pt modelId="{CA77F77E-0FA8-4376-A27A-348CACBCF8D7}" type="pres">
      <dgm:prSet presAssocID="{43951C17-FEF8-43A2-9EFB-001DD19CDBE0}" presName="hierChild7" presStyleCnt="0"/>
      <dgm:spPr/>
    </dgm:pt>
    <dgm:pt modelId="{F8B1429D-602B-40B8-9F24-0D64113EBBC8}" type="pres">
      <dgm:prSet presAssocID="{6AB6B9C6-B1A1-4D80-9023-603557F985C0}" presName="Name111" presStyleLbl="parChTrans1D3" presStyleIdx="3" presStyleCnt="4"/>
      <dgm:spPr/>
    </dgm:pt>
    <dgm:pt modelId="{85A264E5-7959-4BF0-B5E5-271273CF322B}" type="pres">
      <dgm:prSet presAssocID="{4459596B-D8E5-4A53-B54E-245CC9EFB7BB}" presName="hierRoot3" presStyleCnt="0">
        <dgm:presLayoutVars>
          <dgm:hierBranch val="init"/>
        </dgm:presLayoutVars>
      </dgm:prSet>
      <dgm:spPr/>
    </dgm:pt>
    <dgm:pt modelId="{A70ED883-B608-4E4E-8BCA-A34E718CB92A}" type="pres">
      <dgm:prSet presAssocID="{4459596B-D8E5-4A53-B54E-245CC9EFB7BB}" presName="rootComposite3" presStyleCnt="0"/>
      <dgm:spPr/>
    </dgm:pt>
    <dgm:pt modelId="{5F3087FF-FB5D-427A-825B-EAB1353AC598}" type="pres">
      <dgm:prSet presAssocID="{4459596B-D8E5-4A53-B54E-245CC9EFB7BB}" presName="rootText3" presStyleLbl="asst1" presStyleIdx="24" presStyleCnt="32" custScaleX="156131" custScaleY="61767">
        <dgm:presLayoutVars>
          <dgm:chPref val="3"/>
        </dgm:presLayoutVars>
      </dgm:prSet>
      <dgm:spPr>
        <a:xfrm>
          <a:off x="14354872" y="3815985"/>
          <a:ext cx="1575499" cy="311641"/>
        </a:xfrm>
        <a:prstGeom prst="rect">
          <a:avLst/>
        </a:prstGeom>
      </dgm:spPr>
    </dgm:pt>
    <dgm:pt modelId="{0ABCD882-6D4D-49F2-AAFF-83E667DF66ED}" type="pres">
      <dgm:prSet presAssocID="{4459596B-D8E5-4A53-B54E-245CC9EFB7BB}" presName="rootConnector3" presStyleLbl="asst1" presStyleIdx="24" presStyleCnt="32"/>
      <dgm:spPr/>
    </dgm:pt>
    <dgm:pt modelId="{B030CBDC-5176-40D2-8E2D-CE5CA20DD45B}" type="pres">
      <dgm:prSet presAssocID="{4459596B-D8E5-4A53-B54E-245CC9EFB7BB}" presName="hierChild6" presStyleCnt="0"/>
      <dgm:spPr/>
    </dgm:pt>
    <dgm:pt modelId="{3467F48E-37BD-4B23-845B-ED0D7DD68D4E}" type="pres">
      <dgm:prSet presAssocID="{4459596B-D8E5-4A53-B54E-245CC9EFB7BB}" presName="hierChild7" presStyleCnt="0"/>
      <dgm:spPr/>
    </dgm:pt>
    <dgm:pt modelId="{E24A72C0-E41A-4230-8D28-F4D79489BDD9}" type="pres">
      <dgm:prSet presAssocID="{E96FED3F-6D9A-425B-AAAF-493C81BE085B}" presName="Name111" presStyleLbl="parChTrans1D4" presStyleIdx="19" presStyleCnt="26"/>
      <dgm:spPr/>
    </dgm:pt>
    <dgm:pt modelId="{7EE6C303-E9F4-4111-B2CC-4160ACD9129C}" type="pres">
      <dgm:prSet presAssocID="{878101BB-0A62-4322-8176-4241DEB06C39}" presName="hierRoot3" presStyleCnt="0">
        <dgm:presLayoutVars>
          <dgm:hierBranch val="init"/>
        </dgm:presLayoutVars>
      </dgm:prSet>
      <dgm:spPr/>
    </dgm:pt>
    <dgm:pt modelId="{2137466E-6C71-4AAA-8F4B-1818B0CFC9FE}" type="pres">
      <dgm:prSet presAssocID="{878101BB-0A62-4322-8176-4241DEB06C39}" presName="rootComposite3" presStyleCnt="0"/>
      <dgm:spPr/>
    </dgm:pt>
    <dgm:pt modelId="{09B062AE-8802-4DB3-B177-01911F4E5001}" type="pres">
      <dgm:prSet presAssocID="{878101BB-0A62-4322-8176-4241DEB06C39}" presName="rootText3" presStyleLbl="asst1" presStyleIdx="25" presStyleCnt="32" custScaleX="147693" custScaleY="170919">
        <dgm:presLayoutVars>
          <dgm:chPref val="3"/>
        </dgm:presLayoutVars>
      </dgm:prSet>
      <dgm:spPr>
        <a:xfrm>
          <a:off x="13176449" y="4435986"/>
          <a:ext cx="1490352" cy="862361"/>
        </a:xfrm>
        <a:prstGeom prst="rect">
          <a:avLst/>
        </a:prstGeom>
      </dgm:spPr>
    </dgm:pt>
    <dgm:pt modelId="{F5534881-FB81-4D6B-BC1B-9B363246DBF9}" type="pres">
      <dgm:prSet presAssocID="{878101BB-0A62-4322-8176-4241DEB06C39}" presName="rootConnector3" presStyleLbl="asst1" presStyleIdx="25" presStyleCnt="32"/>
      <dgm:spPr/>
    </dgm:pt>
    <dgm:pt modelId="{1228D596-CEF6-4E7B-A75B-4EB6D37FFED5}" type="pres">
      <dgm:prSet presAssocID="{878101BB-0A62-4322-8176-4241DEB06C39}" presName="hierChild6" presStyleCnt="0"/>
      <dgm:spPr/>
    </dgm:pt>
    <dgm:pt modelId="{94077F23-31E5-4C05-BC86-096A826E6FAE}" type="pres">
      <dgm:prSet presAssocID="{878101BB-0A62-4322-8176-4241DEB06C39}" presName="hierChild7" presStyleCnt="0"/>
      <dgm:spPr/>
    </dgm:pt>
    <dgm:pt modelId="{F5255AA6-56C8-4D50-A68F-85A765536CB2}" type="pres">
      <dgm:prSet presAssocID="{D680A8EE-389D-4548-92C3-30753F8016CC}" presName="Name111" presStyleLbl="parChTrans1D4" presStyleIdx="20" presStyleCnt="26"/>
      <dgm:spPr/>
    </dgm:pt>
    <dgm:pt modelId="{169FB1B4-1124-42E9-8E92-94A0862430F1}" type="pres">
      <dgm:prSet presAssocID="{2E5C14C2-E375-4531-A197-30A2CA41B2EE}" presName="hierRoot3" presStyleCnt="0">
        <dgm:presLayoutVars>
          <dgm:hierBranch val="init"/>
        </dgm:presLayoutVars>
      </dgm:prSet>
      <dgm:spPr/>
    </dgm:pt>
    <dgm:pt modelId="{42F6AE6F-E128-48E9-9BD8-FDC8CF532398}" type="pres">
      <dgm:prSet presAssocID="{2E5C14C2-E375-4531-A197-30A2CA41B2EE}" presName="rootComposite3" presStyleCnt="0"/>
      <dgm:spPr/>
    </dgm:pt>
    <dgm:pt modelId="{F41015AD-F375-40A7-8094-DDA92C2189F5}" type="pres">
      <dgm:prSet presAssocID="{2E5C14C2-E375-4531-A197-30A2CA41B2EE}" presName="rootText3" presStyleLbl="asst1" presStyleIdx="26" presStyleCnt="32">
        <dgm:presLayoutVars>
          <dgm:chPref val="3"/>
        </dgm:presLayoutVars>
      </dgm:prSet>
      <dgm:spPr>
        <a:xfrm>
          <a:off x="12806583" y="5510257"/>
          <a:ext cx="1009088" cy="504544"/>
        </a:xfrm>
        <a:prstGeom prst="rect">
          <a:avLst/>
        </a:prstGeom>
      </dgm:spPr>
    </dgm:pt>
    <dgm:pt modelId="{FE023CC7-B8B5-4593-8284-3267E4FB062E}" type="pres">
      <dgm:prSet presAssocID="{2E5C14C2-E375-4531-A197-30A2CA41B2EE}" presName="rootConnector3" presStyleLbl="asst1" presStyleIdx="26" presStyleCnt="32"/>
      <dgm:spPr/>
    </dgm:pt>
    <dgm:pt modelId="{F5C1A939-6B9B-40E1-B2C5-954A9A8F3CF4}" type="pres">
      <dgm:prSet presAssocID="{2E5C14C2-E375-4531-A197-30A2CA41B2EE}" presName="hierChild6" presStyleCnt="0"/>
      <dgm:spPr/>
    </dgm:pt>
    <dgm:pt modelId="{39D3AF2E-55C5-4B1C-A693-406B6F9F9FED}" type="pres">
      <dgm:prSet presAssocID="{2E5C14C2-E375-4531-A197-30A2CA41B2EE}" presName="hierChild7" presStyleCnt="0"/>
      <dgm:spPr/>
    </dgm:pt>
    <dgm:pt modelId="{18C3AB5E-E652-4404-9C9B-84011035CDAE}" type="pres">
      <dgm:prSet presAssocID="{FFA56A28-B0FC-4C2A-AAF4-DA9AFCEE6988}" presName="Name111" presStyleLbl="parChTrans1D4" presStyleIdx="21" presStyleCnt="26"/>
      <dgm:spPr/>
    </dgm:pt>
    <dgm:pt modelId="{550B80C8-98D0-4E52-BA70-07D757A8CE8F}" type="pres">
      <dgm:prSet presAssocID="{D55D665C-FF11-40CE-8C95-0D5F3312BD53}" presName="hierRoot3" presStyleCnt="0">
        <dgm:presLayoutVars>
          <dgm:hierBranch val="init"/>
        </dgm:presLayoutVars>
      </dgm:prSet>
      <dgm:spPr/>
    </dgm:pt>
    <dgm:pt modelId="{9C3FC490-498E-4BD9-A7CF-A2D13A464BEC}" type="pres">
      <dgm:prSet presAssocID="{D55D665C-FF11-40CE-8C95-0D5F3312BD53}" presName="rootComposite3" presStyleCnt="0"/>
      <dgm:spPr/>
    </dgm:pt>
    <dgm:pt modelId="{3FAD70C9-FD65-465A-BBE6-D36F235A27B8}" type="pres">
      <dgm:prSet presAssocID="{D55D665C-FF11-40CE-8C95-0D5F3312BD53}" presName="rootText3" presStyleLbl="asst1" presStyleIdx="27" presStyleCnt="32">
        <dgm:presLayoutVars>
          <dgm:chPref val="3"/>
        </dgm:presLayoutVars>
      </dgm:prSet>
      <dgm:spPr>
        <a:xfrm>
          <a:off x="14027579" y="5510257"/>
          <a:ext cx="1009088" cy="504544"/>
        </a:xfrm>
        <a:prstGeom prst="rect">
          <a:avLst/>
        </a:prstGeom>
      </dgm:spPr>
    </dgm:pt>
    <dgm:pt modelId="{3B7567BB-5A51-401D-ADB8-D0CFC5EA9E57}" type="pres">
      <dgm:prSet presAssocID="{D55D665C-FF11-40CE-8C95-0D5F3312BD53}" presName="rootConnector3" presStyleLbl="asst1" presStyleIdx="27" presStyleCnt="32"/>
      <dgm:spPr/>
    </dgm:pt>
    <dgm:pt modelId="{800988D0-B554-4380-B0BB-1B0A91BFB84A}" type="pres">
      <dgm:prSet presAssocID="{D55D665C-FF11-40CE-8C95-0D5F3312BD53}" presName="hierChild6" presStyleCnt="0"/>
      <dgm:spPr/>
    </dgm:pt>
    <dgm:pt modelId="{118BBDEF-2B58-4E1E-972E-604D9BAD62FC}" type="pres">
      <dgm:prSet presAssocID="{D55D665C-FF11-40CE-8C95-0D5F3312BD53}" presName="hierChild7" presStyleCnt="0"/>
      <dgm:spPr/>
    </dgm:pt>
    <dgm:pt modelId="{2234FF20-EFDB-4F37-979D-44D054A1E933}" type="pres">
      <dgm:prSet presAssocID="{247E7DB7-F6F2-4971-9520-91E25966EF30}" presName="Name111" presStyleLbl="parChTrans1D4" presStyleIdx="22" presStyleCnt="26"/>
      <dgm:spPr/>
    </dgm:pt>
    <dgm:pt modelId="{0B511AD8-1E7E-4198-B5B2-73FCB0F53FA6}" type="pres">
      <dgm:prSet presAssocID="{9A8C22D6-3A74-4045-B2C0-DD4CD64947BB}" presName="hierRoot3" presStyleCnt="0">
        <dgm:presLayoutVars>
          <dgm:hierBranch val="init"/>
        </dgm:presLayoutVars>
      </dgm:prSet>
      <dgm:spPr/>
    </dgm:pt>
    <dgm:pt modelId="{E4FED4BA-E621-4CD2-AE93-65ACE40848E0}" type="pres">
      <dgm:prSet presAssocID="{9A8C22D6-3A74-4045-B2C0-DD4CD64947BB}" presName="rootComposite3" presStyleCnt="0"/>
      <dgm:spPr/>
    </dgm:pt>
    <dgm:pt modelId="{17A8ACAC-278D-4CC5-82B8-CEE2D922340F}" type="pres">
      <dgm:prSet presAssocID="{9A8C22D6-3A74-4045-B2C0-DD4CD64947BB}" presName="rootText3" presStyleLbl="asst1" presStyleIdx="28" presStyleCnt="32">
        <dgm:presLayoutVars>
          <dgm:chPref val="3"/>
        </dgm:presLayoutVars>
      </dgm:prSet>
      <dgm:spPr>
        <a:xfrm>
          <a:off x="12806583" y="6226709"/>
          <a:ext cx="1009088" cy="504544"/>
        </a:xfrm>
        <a:prstGeom prst="rect">
          <a:avLst/>
        </a:prstGeom>
      </dgm:spPr>
    </dgm:pt>
    <dgm:pt modelId="{DF2317F1-218F-471D-8148-06851530F0B9}" type="pres">
      <dgm:prSet presAssocID="{9A8C22D6-3A74-4045-B2C0-DD4CD64947BB}" presName="rootConnector3" presStyleLbl="asst1" presStyleIdx="28" presStyleCnt="32"/>
      <dgm:spPr/>
    </dgm:pt>
    <dgm:pt modelId="{D16943B4-D5CA-445F-A583-9541E25740D4}" type="pres">
      <dgm:prSet presAssocID="{9A8C22D6-3A74-4045-B2C0-DD4CD64947BB}" presName="hierChild6" presStyleCnt="0"/>
      <dgm:spPr/>
    </dgm:pt>
    <dgm:pt modelId="{95C1DFAA-0AC6-4187-8722-724D12B6122E}" type="pres">
      <dgm:prSet presAssocID="{9A8C22D6-3A74-4045-B2C0-DD4CD64947BB}" presName="hierChild7" presStyleCnt="0"/>
      <dgm:spPr/>
    </dgm:pt>
    <dgm:pt modelId="{C6003688-8891-4E3A-B9CA-D58DDDC82F60}" type="pres">
      <dgm:prSet presAssocID="{9152086F-4EAD-4F36-9B80-645A4E65466C}" presName="Name111" presStyleLbl="parChTrans1D4" presStyleIdx="23" presStyleCnt="26"/>
      <dgm:spPr/>
    </dgm:pt>
    <dgm:pt modelId="{8B1E2EE4-B4B4-470B-9DFE-F4007702B3E5}" type="pres">
      <dgm:prSet presAssocID="{D14D54B2-3519-4DAA-9CFD-D2B70E35671F}" presName="hierRoot3" presStyleCnt="0">
        <dgm:presLayoutVars>
          <dgm:hierBranch val="init"/>
        </dgm:presLayoutVars>
      </dgm:prSet>
      <dgm:spPr/>
    </dgm:pt>
    <dgm:pt modelId="{B98C5388-171F-4067-A576-EF60E256C4AF}" type="pres">
      <dgm:prSet presAssocID="{D14D54B2-3519-4DAA-9CFD-D2B70E35671F}" presName="rootComposite3" presStyleCnt="0"/>
      <dgm:spPr/>
    </dgm:pt>
    <dgm:pt modelId="{718B6586-A71F-4B72-86B1-DBD8FE932DA2}" type="pres">
      <dgm:prSet presAssocID="{D14D54B2-3519-4DAA-9CFD-D2B70E35671F}" presName="rootText3" presStyleLbl="asst1" presStyleIdx="29" presStyleCnt="32">
        <dgm:presLayoutVars>
          <dgm:chPref val="3"/>
        </dgm:presLayoutVars>
      </dgm:prSet>
      <dgm:spPr>
        <a:xfrm>
          <a:off x="14027579" y="6226709"/>
          <a:ext cx="1009088" cy="504544"/>
        </a:xfrm>
        <a:prstGeom prst="rect">
          <a:avLst/>
        </a:prstGeom>
      </dgm:spPr>
    </dgm:pt>
    <dgm:pt modelId="{57B4E12D-6D64-4F35-B5CA-FA30692D949F}" type="pres">
      <dgm:prSet presAssocID="{D14D54B2-3519-4DAA-9CFD-D2B70E35671F}" presName="rootConnector3" presStyleLbl="asst1" presStyleIdx="29" presStyleCnt="32"/>
      <dgm:spPr/>
    </dgm:pt>
    <dgm:pt modelId="{483BB155-9519-4E11-BF0D-D9715B525503}" type="pres">
      <dgm:prSet presAssocID="{D14D54B2-3519-4DAA-9CFD-D2B70E35671F}" presName="hierChild6" presStyleCnt="0"/>
      <dgm:spPr/>
    </dgm:pt>
    <dgm:pt modelId="{40203999-ADCD-4ED2-ADDC-E1B486DE3B43}" type="pres">
      <dgm:prSet presAssocID="{D14D54B2-3519-4DAA-9CFD-D2B70E35671F}" presName="hierChild7" presStyleCnt="0"/>
      <dgm:spPr/>
    </dgm:pt>
    <dgm:pt modelId="{5F913C0E-29E5-47B0-8800-0A8BD2CEA467}" type="pres">
      <dgm:prSet presAssocID="{6F9195E7-C6A9-44F7-A2A5-A2A9F5281628}" presName="Name111" presStyleLbl="parChTrans1D4" presStyleIdx="24" presStyleCnt="26"/>
      <dgm:spPr/>
    </dgm:pt>
    <dgm:pt modelId="{8FEB6EB3-4371-47C1-9E47-32B253CE9394}" type="pres">
      <dgm:prSet presAssocID="{278E98E7-C32C-40CE-AE06-DFA1EA751EFA}" presName="hierRoot3" presStyleCnt="0">
        <dgm:presLayoutVars>
          <dgm:hierBranch val="init"/>
        </dgm:presLayoutVars>
      </dgm:prSet>
      <dgm:spPr/>
    </dgm:pt>
    <dgm:pt modelId="{62B02B92-3663-4D8E-B4D1-36CC29D49A70}" type="pres">
      <dgm:prSet presAssocID="{278E98E7-C32C-40CE-AE06-DFA1EA751EFA}" presName="rootComposite3" presStyleCnt="0"/>
      <dgm:spPr/>
    </dgm:pt>
    <dgm:pt modelId="{B96D179E-EF7F-44CD-9B87-869C0A8D1A8A}" type="pres">
      <dgm:prSet presAssocID="{278E98E7-C32C-40CE-AE06-DFA1EA751EFA}" presName="rootText3" presStyleLbl="asst1" presStyleIdx="30" presStyleCnt="32">
        <dgm:presLayoutVars>
          <dgm:chPref val="3"/>
        </dgm:presLayoutVars>
      </dgm:prSet>
      <dgm:spPr>
        <a:xfrm>
          <a:off x="12806583" y="6943162"/>
          <a:ext cx="1009088" cy="504544"/>
        </a:xfrm>
        <a:prstGeom prst="rect">
          <a:avLst/>
        </a:prstGeom>
      </dgm:spPr>
    </dgm:pt>
    <dgm:pt modelId="{81D2E4E7-DFEC-4DD5-AB9D-C263269E6176}" type="pres">
      <dgm:prSet presAssocID="{278E98E7-C32C-40CE-AE06-DFA1EA751EFA}" presName="rootConnector3" presStyleLbl="asst1" presStyleIdx="30" presStyleCnt="32"/>
      <dgm:spPr/>
    </dgm:pt>
    <dgm:pt modelId="{852DED00-470A-4F60-B32D-ED82CFD12A8D}" type="pres">
      <dgm:prSet presAssocID="{278E98E7-C32C-40CE-AE06-DFA1EA751EFA}" presName="hierChild6" presStyleCnt="0"/>
      <dgm:spPr/>
    </dgm:pt>
    <dgm:pt modelId="{3E9F751C-6C5B-40FD-A019-FF4D077B48BF}" type="pres">
      <dgm:prSet presAssocID="{278E98E7-C32C-40CE-AE06-DFA1EA751EFA}" presName="hierChild7" presStyleCnt="0"/>
      <dgm:spPr/>
    </dgm:pt>
    <dgm:pt modelId="{5491F87D-D1F4-4A54-893B-2B3636406592}" type="pres">
      <dgm:prSet presAssocID="{43CDDE4A-F871-4638-A5ED-83BBF0650269}" presName="Name111" presStyleLbl="parChTrans1D4" presStyleIdx="25" presStyleCnt="26"/>
      <dgm:spPr/>
    </dgm:pt>
    <dgm:pt modelId="{7299A196-25BA-4ADE-9CE9-DE038C4147E1}" type="pres">
      <dgm:prSet presAssocID="{527433A6-4837-49F1-B75C-0582041AD886}" presName="hierRoot3" presStyleCnt="0">
        <dgm:presLayoutVars>
          <dgm:hierBranch val="init"/>
        </dgm:presLayoutVars>
      </dgm:prSet>
      <dgm:spPr/>
    </dgm:pt>
    <dgm:pt modelId="{71CE2D8F-DCCE-48FF-AD73-7A550058AD1A}" type="pres">
      <dgm:prSet presAssocID="{527433A6-4837-49F1-B75C-0582041AD886}" presName="rootComposite3" presStyleCnt="0"/>
      <dgm:spPr/>
    </dgm:pt>
    <dgm:pt modelId="{BC6F6FE4-4400-484C-823D-FA42F132BB08}" type="pres">
      <dgm:prSet presAssocID="{527433A6-4837-49F1-B75C-0582041AD886}" presName="rootText3" presStyleLbl="asst1" presStyleIdx="31" presStyleCnt="32">
        <dgm:presLayoutVars>
          <dgm:chPref val="3"/>
        </dgm:presLayoutVars>
      </dgm:prSet>
      <dgm:spPr>
        <a:xfrm>
          <a:off x="14027579" y="6943162"/>
          <a:ext cx="1009088" cy="504544"/>
        </a:xfrm>
        <a:prstGeom prst="rect">
          <a:avLst/>
        </a:prstGeom>
      </dgm:spPr>
    </dgm:pt>
    <dgm:pt modelId="{6A2B546C-B706-4E20-B524-D17EAA8E99B1}" type="pres">
      <dgm:prSet presAssocID="{527433A6-4837-49F1-B75C-0582041AD886}" presName="rootConnector3" presStyleLbl="asst1" presStyleIdx="31" presStyleCnt="32"/>
      <dgm:spPr/>
    </dgm:pt>
    <dgm:pt modelId="{5A4436FE-83B6-4BE4-8724-D0655797B85A}" type="pres">
      <dgm:prSet presAssocID="{527433A6-4837-49F1-B75C-0582041AD886}" presName="hierChild6" presStyleCnt="0"/>
      <dgm:spPr/>
    </dgm:pt>
    <dgm:pt modelId="{05656F71-AE6B-4D86-9586-634AF614C9AC}" type="pres">
      <dgm:prSet presAssocID="{527433A6-4837-49F1-B75C-0582041AD886}" presName="hierChild7" presStyleCnt="0"/>
      <dgm:spPr/>
    </dgm:pt>
  </dgm:ptLst>
  <dgm:cxnLst>
    <dgm:cxn modelId="{27D53801-4666-4785-84C7-1A445B5E0729}" type="presOf" srcId="{6760C1B7-553B-4DD6-9596-B6A0210ECEED}" destId="{D972D2BE-3F8E-4F29-BF1B-BDE8AB4B7B77}" srcOrd="0" destOrd="0" presId="urn:microsoft.com/office/officeart/2005/8/layout/orgChart1"/>
    <dgm:cxn modelId="{60134F01-5B6F-41B1-8DEB-DCA39105AF6E}" type="presOf" srcId="{156B12F6-6B82-4B4A-B82A-CE3C4D11E9C2}" destId="{96325B5F-A91F-4B78-83F6-68B35E247A6A}" srcOrd="0" destOrd="0" presId="urn:microsoft.com/office/officeart/2005/8/layout/orgChart1"/>
    <dgm:cxn modelId="{629A0603-F93F-4BB6-B31A-A0CDA1DF6E42}" type="presOf" srcId="{339DCD3A-2317-4FE7-BE0E-5495A5C870F7}" destId="{9FB18A12-7A9E-4F3E-AE30-FC6483217B23}" srcOrd="0" destOrd="0" presId="urn:microsoft.com/office/officeart/2005/8/layout/orgChart1"/>
    <dgm:cxn modelId="{3DE77605-9ADD-4801-A202-9966DFF6E8C3}" type="presOf" srcId="{55202F3C-4C51-4544-92A6-B9C8AD8E741C}" destId="{DF46B9B1-EAF8-4DDB-8874-5B2BBCFE345E}" srcOrd="1" destOrd="0" presId="urn:microsoft.com/office/officeart/2005/8/layout/orgChart1"/>
    <dgm:cxn modelId="{73F28605-F536-4C09-9D7F-EC4474700068}" srcId="{878101BB-0A62-4322-8176-4241DEB06C39}" destId="{9A8C22D6-3A74-4045-B2C0-DD4CD64947BB}" srcOrd="2" destOrd="0" parTransId="{247E7DB7-F6F2-4971-9520-91E25966EF30}" sibTransId="{8DAAD2BB-34E3-432F-B74B-731984AFC0D5}"/>
    <dgm:cxn modelId="{AD6D2707-368D-4FA4-B136-CECF3EB3AB30}" srcId="{4459596B-D8E5-4A53-B54E-245CC9EFB7BB}" destId="{878101BB-0A62-4322-8176-4241DEB06C39}" srcOrd="0" destOrd="0" parTransId="{E96FED3F-6D9A-425B-AAAF-493C81BE085B}" sibTransId="{7E34C553-FC5A-488A-A768-289B656C0BBE}"/>
    <dgm:cxn modelId="{EF8E6E07-D7A8-4B90-A6D3-5D3A3AE774D8}" type="presOf" srcId="{339DCD3A-2317-4FE7-BE0E-5495A5C870F7}" destId="{289F125A-E199-453D-AFB4-9AE532BEC254}" srcOrd="1" destOrd="0" presId="urn:microsoft.com/office/officeart/2005/8/layout/orgChart1"/>
    <dgm:cxn modelId="{BB83930B-CB17-4814-84F7-15B762256D0C}" type="presOf" srcId="{FFA56A28-B0FC-4C2A-AAF4-DA9AFCEE6988}" destId="{18C3AB5E-E652-4404-9C9B-84011035CDAE}" srcOrd="0" destOrd="0" presId="urn:microsoft.com/office/officeart/2005/8/layout/orgChart1"/>
    <dgm:cxn modelId="{2E21EC0B-9458-4682-AC50-375FE18FDE10}" type="presOf" srcId="{B5251A56-B076-42D4-A0C4-5FF6CED31AA1}" destId="{9D019E90-04F4-4D59-8870-10660B2E579F}" srcOrd="0" destOrd="0" presId="urn:microsoft.com/office/officeart/2005/8/layout/orgChart1"/>
    <dgm:cxn modelId="{18F63710-A795-467C-9A91-78AA540BA319}" type="presOf" srcId="{527433A6-4837-49F1-B75C-0582041AD886}" destId="{6A2B546C-B706-4E20-B524-D17EAA8E99B1}" srcOrd="1" destOrd="0" presId="urn:microsoft.com/office/officeart/2005/8/layout/orgChart1"/>
    <dgm:cxn modelId="{1853B012-70D1-410D-B266-974D855A3075}" type="presOf" srcId="{6B5F966D-4A11-4249-9885-B954212AFA75}" destId="{9D0E5FCE-0523-4AFB-8BA3-8FB8E81081B3}" srcOrd="0" destOrd="0" presId="urn:microsoft.com/office/officeart/2005/8/layout/orgChart1"/>
    <dgm:cxn modelId="{C41DF614-BC3F-434F-839B-943FD6C694B0}" srcId="{339DCD3A-2317-4FE7-BE0E-5495A5C870F7}" destId="{7535E044-E6BC-45C1-9B3B-119EEABBE04A}" srcOrd="3" destOrd="0" parTransId="{86383165-2864-4F97-A7C0-1DF2BFC8DB5F}" sibTransId="{B7E4879E-39F7-46F2-AE33-C22DD9247191}"/>
    <dgm:cxn modelId="{60C8AB16-5874-48AA-AD16-509D9AE71F20}" type="presOf" srcId="{9A8C22D6-3A74-4045-B2C0-DD4CD64947BB}" destId="{17A8ACAC-278D-4CC5-82B8-CEE2D922340F}" srcOrd="0" destOrd="0" presId="urn:microsoft.com/office/officeart/2005/8/layout/orgChart1"/>
    <dgm:cxn modelId="{F8C53619-844B-42C7-A3C1-A3CCFAB72394}" type="presOf" srcId="{86443D66-1FF0-4756-95DD-ECC227FB71A7}" destId="{69CE16EC-8896-47A8-AB40-B3DDB86D9F03}" srcOrd="0" destOrd="0" presId="urn:microsoft.com/office/officeart/2005/8/layout/orgChart1"/>
    <dgm:cxn modelId="{AA4ECA20-AC8A-450B-A6B9-C88408F202C3}" type="presOf" srcId="{4459596B-D8E5-4A53-B54E-245CC9EFB7BB}" destId="{5F3087FF-FB5D-427A-825B-EAB1353AC598}" srcOrd="0" destOrd="0" presId="urn:microsoft.com/office/officeart/2005/8/layout/orgChart1"/>
    <dgm:cxn modelId="{D8CE782C-48DD-4AFF-B9EF-2DD2F7112D06}" type="presOf" srcId="{0FBB793C-D5BD-409E-93EA-43D50DBA91BD}" destId="{C022E808-6F97-4B49-8F24-69F1D40597CF}" srcOrd="1" destOrd="0" presId="urn:microsoft.com/office/officeart/2005/8/layout/orgChart1"/>
    <dgm:cxn modelId="{0DD0392F-990A-4688-A176-83F2BAC42D9E}" type="presOf" srcId="{0005CACF-C568-4024-8A74-6141CFCCA451}" destId="{5A38456E-D50D-4166-BFB4-4E63C5ADABBD}" srcOrd="0" destOrd="0" presId="urn:microsoft.com/office/officeart/2005/8/layout/orgChart1"/>
    <dgm:cxn modelId="{97B0BD30-5FA5-4F95-ADEC-56E6AA8DA352}" type="presOf" srcId="{6F9195E7-C6A9-44F7-A2A5-A2A9F5281628}" destId="{5F913C0E-29E5-47B0-8800-0A8BD2CEA467}" srcOrd="0" destOrd="0" presId="urn:microsoft.com/office/officeart/2005/8/layout/orgChart1"/>
    <dgm:cxn modelId="{86418937-6785-4E26-A21C-EB0EA24B32B9}" type="presOf" srcId="{E96FED3F-6D9A-425B-AAAF-493C81BE085B}" destId="{E24A72C0-E41A-4230-8D28-F4D79489BDD9}" srcOrd="0" destOrd="0" presId="urn:microsoft.com/office/officeart/2005/8/layout/orgChart1"/>
    <dgm:cxn modelId="{1E91AC37-1497-4F48-84A0-BFD7822A4DF7}" srcId="{34272F97-9966-4D22-A40E-E6000C3CE4E7}" destId="{9F3D72FC-DC74-446E-A4A8-BBE973EB5BB4}" srcOrd="5" destOrd="0" parTransId="{E9EC0062-112D-43EE-B619-FCCA76F8F530}" sibTransId="{8CC20035-8AD2-4942-A3B1-5435373A1F13}"/>
    <dgm:cxn modelId="{4FE71D39-350E-4237-A81D-5F863D600ACE}" srcId="{339DCD3A-2317-4FE7-BE0E-5495A5C870F7}" destId="{7BF133F5-E888-4C0D-AFFF-6A0DA836D326}" srcOrd="2" destOrd="0" parTransId="{7CBFE43C-727C-4F0E-A001-0EA55288B5D1}" sibTransId="{F4DE9D01-BDA1-4304-B1DF-7C38067E2AEA}"/>
    <dgm:cxn modelId="{C5107539-3352-4F11-AAC1-80C8F22AA745}" type="presOf" srcId="{EDD9E9A7-5ED0-4942-B295-F0243AA58834}" destId="{94BD7E82-9F96-480D-BF25-E80C18A3ABCC}" srcOrd="0" destOrd="0" presId="urn:microsoft.com/office/officeart/2005/8/layout/orgChart1"/>
    <dgm:cxn modelId="{0711A93A-1AAD-4B81-AA4D-16CEC7130958}" type="presOf" srcId="{43951C17-FEF8-43A2-9EFB-001DD19CDBE0}" destId="{FD33FE1A-0E52-4570-AEEE-358E062CB036}" srcOrd="0" destOrd="0" presId="urn:microsoft.com/office/officeart/2005/8/layout/orgChart1"/>
    <dgm:cxn modelId="{E877433B-9057-415C-956A-80342AC8A353}" type="presOf" srcId="{6AB6B9C6-B1A1-4D80-9023-603557F985C0}" destId="{F8B1429D-602B-40B8-9F24-0D64113EBBC8}" srcOrd="0" destOrd="0" presId="urn:microsoft.com/office/officeart/2005/8/layout/orgChart1"/>
    <dgm:cxn modelId="{44376D3B-519E-4AF0-9271-EA95D277795D}" type="presOf" srcId="{385F8D00-C7F7-4A0C-AE27-995E79EB7EDA}" destId="{AC4BAC35-8EC5-4C8D-A1F9-F4C9620F8F71}" srcOrd="1" destOrd="0" presId="urn:microsoft.com/office/officeart/2005/8/layout/orgChart1"/>
    <dgm:cxn modelId="{8B5ED53B-18DE-4291-9F49-B88882853C1D}" type="presOf" srcId="{4459596B-D8E5-4A53-B54E-245CC9EFB7BB}" destId="{0ABCD882-6D4D-49F2-AAFF-83E667DF66ED}" srcOrd="1" destOrd="0" presId="urn:microsoft.com/office/officeart/2005/8/layout/orgChart1"/>
    <dgm:cxn modelId="{C9B8233F-5C12-42EF-B9FD-E9102A799648}" type="presOf" srcId="{2E5C14C2-E375-4531-A197-30A2CA41B2EE}" destId="{FE023CC7-B8B5-4593-8284-3267E4FB062E}" srcOrd="1" destOrd="0" presId="urn:microsoft.com/office/officeart/2005/8/layout/orgChart1"/>
    <dgm:cxn modelId="{57AEE940-669D-4169-8EEE-29DA29C9F361}" type="presOf" srcId="{55202F3C-4C51-4544-92A6-B9C8AD8E741C}" destId="{1E54B4CC-A68C-45BE-AD11-6AA516C3D92C}" srcOrd="0" destOrd="0" presId="urn:microsoft.com/office/officeart/2005/8/layout/orgChart1"/>
    <dgm:cxn modelId="{BC2A4A5B-8E34-4961-AB1C-988620EE5806}" type="presOf" srcId="{D14D54B2-3519-4DAA-9CFD-D2B70E35671F}" destId="{57B4E12D-6D64-4F35-B5CA-FA30692D949F}" srcOrd="1" destOrd="0" presId="urn:microsoft.com/office/officeart/2005/8/layout/orgChart1"/>
    <dgm:cxn modelId="{E8392B5C-E388-408D-9CC2-57E743FEA99D}" type="presOf" srcId="{9C5BCDB9-E570-49C8-A5DA-0D8413FCF68F}" destId="{63432DA4-4F80-42E6-8F19-48194E307AE8}" srcOrd="1" destOrd="0" presId="urn:microsoft.com/office/officeart/2005/8/layout/orgChart1"/>
    <dgm:cxn modelId="{2B6D2D5C-6FCF-4C3E-B4B8-AA7390A9EEAC}" srcId="{4835F541-6F80-4BAC-A101-42BCAA22D4CF}" destId="{203E615F-5C7B-44F4-8713-195F604AC0EE}" srcOrd="1" destOrd="0" parTransId="{0005CACF-C568-4024-8A74-6141CFCCA451}" sibTransId="{8FFBA5CD-9F91-44AA-8C40-55EA9AD1779D}"/>
    <dgm:cxn modelId="{38AF8F5E-DDFE-4D47-A237-12D8DCEC14CC}" type="presOf" srcId="{1507EA25-95CD-4438-8129-97A51621F326}" destId="{4F775AAB-2564-4369-B531-0AC9CE97037F}" srcOrd="1" destOrd="0" presId="urn:microsoft.com/office/officeart/2005/8/layout/orgChart1"/>
    <dgm:cxn modelId="{B5DC735F-6ACD-4755-9C6A-55F18A433F07}" srcId="{4FE8EBDC-F4E7-4496-AD9B-33B2DD2FE079}" destId="{F4592B1A-CED5-44A5-BE0A-9CA89A900E0B}" srcOrd="3" destOrd="0" parTransId="{EDD9E9A7-5ED0-4942-B295-F0243AA58834}" sibTransId="{CCC6375D-772A-4218-9909-CABFAF811923}"/>
    <dgm:cxn modelId="{12D78F60-0423-4B4B-806F-1B90C3FDE6E0}" type="presOf" srcId="{24CBDFE5-6695-4C77-8BD9-9C34B10B1DA6}" destId="{FCF11548-7FAA-4D75-97DF-4258BED40F4C}" srcOrd="0" destOrd="0" presId="urn:microsoft.com/office/officeart/2005/8/layout/orgChart1"/>
    <dgm:cxn modelId="{B774C860-0012-4104-B2E3-5C5A3D6AC55D}" type="presOf" srcId="{F4592B1A-CED5-44A5-BE0A-9CA89A900E0B}" destId="{82F7E914-7B66-4772-80C5-FC33645EB2DB}" srcOrd="0" destOrd="0" presId="urn:microsoft.com/office/officeart/2005/8/layout/orgChart1"/>
    <dgm:cxn modelId="{11655C63-AAC2-4C6D-8075-84AD5CB85905}" type="presOf" srcId="{AEA9822A-1CAA-4BB5-8884-592FBA41FE65}" destId="{2BB0DDB4-12FE-4D64-96A4-1C66DEA30EA9}" srcOrd="0" destOrd="0" presId="urn:microsoft.com/office/officeart/2005/8/layout/orgChart1"/>
    <dgm:cxn modelId="{852F4B63-75F7-48D1-9537-39E7B3E78E1C}" type="presOf" srcId="{85033BE6-C2A2-407B-A087-7CE4DEF23F66}" destId="{FA813941-086E-45C8-BDA3-C805F77C04EA}" srcOrd="0" destOrd="0" presId="urn:microsoft.com/office/officeart/2005/8/layout/orgChart1"/>
    <dgm:cxn modelId="{7CBBDA43-6A45-4B06-A8CF-CAB29D83835E}" srcId="{34272F97-9966-4D22-A40E-E6000C3CE4E7}" destId="{3476632C-3E60-4C5E-B95F-1296483B3F54}" srcOrd="3" destOrd="0" parTransId="{FB30EF49-9C25-4D0B-8BE1-8431BDCE595B}" sibTransId="{9ED6D6DE-E13C-42AD-8E0C-B837E2688ADB}"/>
    <dgm:cxn modelId="{0182A445-4D91-4C8E-9CAF-2A7667834140}" type="presOf" srcId="{F5115B59-5952-4CE5-9961-84F5EE4AB0C7}" destId="{C8B88319-6A7D-46A8-ACAE-2F8B11360A94}" srcOrd="1" destOrd="0" presId="urn:microsoft.com/office/officeart/2005/8/layout/orgChart1"/>
    <dgm:cxn modelId="{108BBC45-F5F6-4B67-B926-7537740DED65}" type="presOf" srcId="{4FE8EBDC-F4E7-4496-AD9B-33B2DD2FE079}" destId="{CB07F995-F8B1-4671-B289-54C3B63D028A}" srcOrd="0" destOrd="0" presId="urn:microsoft.com/office/officeart/2005/8/layout/orgChart1"/>
    <dgm:cxn modelId="{8782F365-2309-425D-9928-129AFF6C2FB0}" type="presOf" srcId="{3476632C-3E60-4C5E-B95F-1296483B3F54}" destId="{A0E0C018-87ED-4AA5-88F0-460A59AB9FF9}" srcOrd="1" destOrd="0" presId="urn:microsoft.com/office/officeart/2005/8/layout/orgChart1"/>
    <dgm:cxn modelId="{D7060546-DFE6-49BB-8C28-649A5F12D75F}" type="presOf" srcId="{AB606A84-92C2-4617-8DD1-B1B6F2E0E7F5}" destId="{93752990-47C7-4C63-8BA5-1C69E7F5821A}" srcOrd="0" destOrd="0" presId="urn:microsoft.com/office/officeart/2005/8/layout/orgChart1"/>
    <dgm:cxn modelId="{5FFD3C46-7829-4398-B4BA-7CDC9B92AA43}" type="presOf" srcId="{E1EB5A33-5038-4331-B8DE-2C30ED22B2EE}" destId="{94D59F56-F6C7-41B7-8214-5C5044F4F916}" srcOrd="0" destOrd="0" presId="urn:microsoft.com/office/officeart/2005/8/layout/orgChart1"/>
    <dgm:cxn modelId="{D353F266-E064-412F-AF43-F06BB37C5D04}" type="presOf" srcId="{203E615F-5C7B-44F4-8713-195F604AC0EE}" destId="{900016EA-0144-4B43-BE76-C25D5D5983E0}" srcOrd="1" destOrd="0" presId="urn:microsoft.com/office/officeart/2005/8/layout/orgChart1"/>
    <dgm:cxn modelId="{A13D2367-1659-402B-AF8C-E09847EE44D0}" type="presOf" srcId="{D55D665C-FF11-40CE-8C95-0D5F3312BD53}" destId="{3FAD70C9-FD65-465A-BBE6-D36F235A27B8}" srcOrd="0" destOrd="0" presId="urn:microsoft.com/office/officeart/2005/8/layout/orgChart1"/>
    <dgm:cxn modelId="{172FBB47-E81E-404A-B7CB-FF6DC3B26F2F}" type="presOf" srcId="{7CBFE43C-727C-4F0E-A001-0EA55288B5D1}" destId="{ACE94CAF-E8A6-4CF4-BD1C-3775C74BEC6D}" srcOrd="0" destOrd="0" presId="urn:microsoft.com/office/officeart/2005/8/layout/orgChart1"/>
    <dgm:cxn modelId="{15267E48-7368-4086-8605-AE9BF341780E}" type="presOf" srcId="{90373C00-5E68-47AA-9F3F-10343E9F83F6}" destId="{6107919A-8100-4DAA-AFB3-032367F5622F}" srcOrd="0" destOrd="0" presId="urn:microsoft.com/office/officeart/2005/8/layout/orgChart1"/>
    <dgm:cxn modelId="{69E0444A-277C-4400-A96C-002EA94BA2FC}" srcId="{2DC7BEEA-984E-4BA9-A348-A2FD06B09A24}" destId="{385F8D00-C7F7-4A0C-AE27-995E79EB7EDA}" srcOrd="1" destOrd="0" parTransId="{090ABDCE-A46B-41F5-A51F-83F635349A6B}" sibTransId="{D5B14064-13A4-4E9A-8DD8-F3DCF62EE373}"/>
    <dgm:cxn modelId="{D248DF4F-4DC5-4C3A-8425-6CC413749A8A}" srcId="{34272F97-9966-4D22-A40E-E6000C3CE4E7}" destId="{F5115B59-5952-4CE5-9961-84F5EE4AB0C7}" srcOrd="7" destOrd="0" parTransId="{0C953AF7-5F5F-4428-9D9E-143AB6D9CD44}" sibTransId="{3FE5A018-1694-4540-BDA1-FEE828ADB0BE}"/>
    <dgm:cxn modelId="{1D0C4550-EABA-4A1E-865C-A2A90CCB61C7}" type="presOf" srcId="{79BF5173-552E-402D-8FAC-186547F278D5}" destId="{4F40A149-E423-4A91-A337-7ADCEC1B0EB7}" srcOrd="0" destOrd="0" presId="urn:microsoft.com/office/officeart/2005/8/layout/orgChart1"/>
    <dgm:cxn modelId="{8EEEB154-B212-4AD1-9614-DCDDC8E7CF0A}" srcId="{34272F97-9966-4D22-A40E-E6000C3CE4E7}" destId="{0FBB793C-D5BD-409E-93EA-43D50DBA91BD}" srcOrd="4" destOrd="0" parTransId="{FEF9ADFA-C473-4386-BB8B-414C3CDC102C}" sibTransId="{638473A5-4EF6-41A9-8205-54B64655D0FA}"/>
    <dgm:cxn modelId="{33CF7D75-62A0-4740-9C9C-476B19FA7183}" type="presOf" srcId="{34272F97-9966-4D22-A40E-E6000C3CE4E7}" destId="{B069BB21-9F76-4481-B55B-FE63F795F87E}" srcOrd="1" destOrd="0" presId="urn:microsoft.com/office/officeart/2005/8/layout/orgChart1"/>
    <dgm:cxn modelId="{2DEF4977-D028-47CC-9032-887A540C83D1}" srcId="{34272F97-9966-4D22-A40E-E6000C3CE4E7}" destId="{9C5BCDB9-E570-49C8-A5DA-0D8413FCF68F}" srcOrd="2" destOrd="0" parTransId="{5616111F-9F3E-480C-BFEE-AAF848FCA207}" sibTransId="{031594E5-A1F8-4B5C-A7B9-B0D2BF074295}"/>
    <dgm:cxn modelId="{574DBF78-A00C-409D-8A9D-F3EEC909355C}" type="presOf" srcId="{4835F541-6F80-4BAC-A101-42BCAA22D4CF}" destId="{478F74FB-61C5-4FA8-8D56-C70F3A9B0B40}" srcOrd="0" destOrd="0" presId="urn:microsoft.com/office/officeart/2005/8/layout/orgChart1"/>
    <dgm:cxn modelId="{F2727B59-BEC8-4F4E-92B6-35156AB4E18B}" srcId="{339DCD3A-2317-4FE7-BE0E-5495A5C870F7}" destId="{6B5F966D-4A11-4249-9885-B954212AFA75}" srcOrd="0" destOrd="0" parTransId="{983B35BF-99EA-4508-8F08-BFB09B3BB35D}" sibTransId="{FD7E6768-78E7-4891-9443-52096643C759}"/>
    <dgm:cxn modelId="{99798279-BA4C-4195-B211-23CB72C1015C}" type="presOf" srcId="{878101BB-0A62-4322-8176-4241DEB06C39}" destId="{09B062AE-8802-4DB3-B177-01911F4E5001}" srcOrd="0" destOrd="0" presId="urn:microsoft.com/office/officeart/2005/8/layout/orgChart1"/>
    <dgm:cxn modelId="{8B64AD59-9B37-456D-B370-9E4C2116EBF2}" srcId="{34272F97-9966-4D22-A40E-E6000C3CE4E7}" destId="{85033BE6-C2A2-407B-A087-7CE4DEF23F66}" srcOrd="0" destOrd="0" parTransId="{47945B8A-0BFC-4199-B8CB-7F67359084D0}" sibTransId="{AFF79982-56D7-4186-95BE-E35F9AD1E4BB}"/>
    <dgm:cxn modelId="{5029547A-A702-43EF-AAB0-9B14C64C2199}" type="presOf" srcId="{E0735B4A-B032-4A5D-902A-DB371A194639}" destId="{577107F5-1B5A-413F-AD08-29E0222300F8}" srcOrd="0" destOrd="0" presId="urn:microsoft.com/office/officeart/2005/8/layout/orgChart1"/>
    <dgm:cxn modelId="{2FCDE480-F8D0-47EF-A3EC-0D8F61236F77}" type="presOf" srcId="{9F3D72FC-DC74-446E-A4A8-BBE973EB5BB4}" destId="{FA8B7401-6303-4DAD-86A2-B3F875CCBC68}" srcOrd="1" destOrd="0" presId="urn:microsoft.com/office/officeart/2005/8/layout/orgChart1"/>
    <dgm:cxn modelId="{2DAD0482-C299-4CCB-9239-CD1C5BF03961}" type="presOf" srcId="{9F3D72FC-DC74-446E-A4A8-BBE973EB5BB4}" destId="{42591F93-1699-46C3-8F3D-DFEF2D2A1DD4}" srcOrd="0" destOrd="0" presId="urn:microsoft.com/office/officeart/2005/8/layout/orgChart1"/>
    <dgm:cxn modelId="{D5020E83-F0F2-44E8-8FD8-8486E17D6100}" type="presOf" srcId="{247E7DB7-F6F2-4971-9520-91E25966EF30}" destId="{2234FF20-EFDB-4F37-979D-44D054A1E933}" srcOrd="0" destOrd="0" presId="urn:microsoft.com/office/officeart/2005/8/layout/orgChart1"/>
    <dgm:cxn modelId="{53B9BC86-762C-4077-8EA4-AE8600E8CEE9}" type="presOf" srcId="{278E98E7-C32C-40CE-AE06-DFA1EA751EFA}" destId="{81D2E4E7-DFEC-4DD5-AB9D-C263269E6176}" srcOrd="1" destOrd="0" presId="urn:microsoft.com/office/officeart/2005/8/layout/orgChart1"/>
    <dgm:cxn modelId="{17F2ED87-8C64-4568-B28D-7F88EB54F422}" type="presOf" srcId="{7BF133F5-E888-4C0D-AFFF-6A0DA836D326}" destId="{EABDDD6E-FA66-48BA-AA3B-FC18050939EE}" srcOrd="1" destOrd="0" presId="urn:microsoft.com/office/officeart/2005/8/layout/orgChart1"/>
    <dgm:cxn modelId="{D5B2288A-0E84-4311-81D3-4E193414D8CF}" type="presOf" srcId="{D14D54B2-3519-4DAA-9CFD-D2B70E35671F}" destId="{718B6586-A71F-4B72-86B1-DBD8FE932DA2}" srcOrd="0" destOrd="0" presId="urn:microsoft.com/office/officeart/2005/8/layout/orgChart1"/>
    <dgm:cxn modelId="{EA314A8B-B759-4E99-9314-22C693894826}" type="presOf" srcId="{AB4F41D4-A32F-4DE4-9128-25525A0A4062}" destId="{EBB52A5A-D728-4446-B3F5-1439D10DF557}" srcOrd="1" destOrd="0" presId="urn:microsoft.com/office/officeart/2005/8/layout/orgChart1"/>
    <dgm:cxn modelId="{B0DFA38D-99D6-401B-8B9D-84FA8F40C49A}" type="presOf" srcId="{878101BB-0A62-4322-8176-4241DEB06C39}" destId="{F5534881-FB81-4D6B-BC1B-9B363246DBF9}" srcOrd="1" destOrd="0" presId="urn:microsoft.com/office/officeart/2005/8/layout/orgChart1"/>
    <dgm:cxn modelId="{61053890-D2E9-4FE6-ADD2-66306EF3089D}" type="presOf" srcId="{86383165-2864-4F97-A7C0-1DF2BFC8DB5F}" destId="{82516418-227E-4B27-8FB3-224A0D5A7A0D}" srcOrd="0" destOrd="0" presId="urn:microsoft.com/office/officeart/2005/8/layout/orgChart1"/>
    <dgm:cxn modelId="{F3B9E990-0BC3-4FB3-8371-30EA8C32E1AF}" type="presOf" srcId="{47945B8A-0BFC-4199-B8CB-7F67359084D0}" destId="{6C9353EB-805B-442D-91AF-72DBD97C1BD7}" srcOrd="0" destOrd="0" presId="urn:microsoft.com/office/officeart/2005/8/layout/orgChart1"/>
    <dgm:cxn modelId="{CCC1DC94-5151-43EE-8A73-E7DD9A1BBA89}" type="presOf" srcId="{4835F541-6F80-4BAC-A101-42BCAA22D4CF}" destId="{5A8382B9-2F70-4A0B-93F3-909D4B606BDC}" srcOrd="1" destOrd="0" presId="urn:microsoft.com/office/officeart/2005/8/layout/orgChart1"/>
    <dgm:cxn modelId="{70EC5195-88CA-4045-9E54-3ECE9DAA7758}" type="presOf" srcId="{9C5BCDB9-E570-49C8-A5DA-0D8413FCF68F}" destId="{72D0C764-7266-4F7A-852C-E14081109DAB}" srcOrd="0" destOrd="0" presId="urn:microsoft.com/office/officeart/2005/8/layout/orgChart1"/>
    <dgm:cxn modelId="{E7D5A695-4A5D-45E2-ABF4-DF270B97EA03}" srcId="{4835F541-6F80-4BAC-A101-42BCAA22D4CF}" destId="{2DC7BEEA-984E-4BA9-A348-A2FD06B09A24}" srcOrd="0" destOrd="0" parTransId="{79BF5173-552E-402D-8FAC-186547F278D5}" sibTransId="{0A162669-9208-4FE0-9FF5-1D23FB5A42CA}"/>
    <dgm:cxn modelId="{0EFB7797-7421-4AC2-B68B-E3D8A4869D16}" type="presOf" srcId="{FB30EF49-9C25-4D0B-8BE1-8431BDCE595B}" destId="{76D7FB3D-ED2C-49A0-9E53-D30377B734F8}" srcOrd="0" destOrd="0" presId="urn:microsoft.com/office/officeart/2005/8/layout/orgChart1"/>
    <dgm:cxn modelId="{BBCF7F97-23B3-42B6-8BBA-405E4B6477E4}" srcId="{878101BB-0A62-4322-8176-4241DEB06C39}" destId="{D55D665C-FF11-40CE-8C95-0D5F3312BD53}" srcOrd="1" destOrd="0" parTransId="{FFA56A28-B0FC-4C2A-AAF4-DA9AFCEE6988}" sibTransId="{6DC9603F-1E74-490F-B4E8-9F82B264A33A}"/>
    <dgm:cxn modelId="{096E4299-6F68-4903-BF56-8008804EE06F}" type="presOf" srcId="{0FBB793C-D5BD-409E-93EA-43D50DBA91BD}" destId="{5CC2977C-E0B9-45DA-8467-2E2134C30FF7}" srcOrd="0" destOrd="0" presId="urn:microsoft.com/office/officeart/2005/8/layout/orgChart1"/>
    <dgm:cxn modelId="{E684BB9C-2DAD-4764-AB44-2B8BA12EE6AF}" type="presOf" srcId="{44FAC367-ADAB-4303-B7C8-4AD4F3E31EEB}" destId="{5C27D178-A63A-4E24-B490-E79A2F631056}" srcOrd="0" destOrd="0" presId="urn:microsoft.com/office/officeart/2005/8/layout/orgChart1"/>
    <dgm:cxn modelId="{8E480EA1-6E9F-4F7D-92C7-665D179979D9}" type="presOf" srcId="{7BBBDE84-C6AF-4F36-A3B6-F147AC908D28}" destId="{E3917415-F641-4A2F-A1B4-9B1E839C9B2D}" srcOrd="0" destOrd="0" presId="urn:microsoft.com/office/officeart/2005/8/layout/orgChart1"/>
    <dgm:cxn modelId="{9409A8A1-3724-42EC-BE33-607B359B2FB8}" type="presOf" srcId="{0C953AF7-5F5F-4428-9D9E-143AB6D9CD44}" destId="{9F3CFC88-E747-4218-8D7B-03BD7743712A}" srcOrd="0" destOrd="0" presId="urn:microsoft.com/office/officeart/2005/8/layout/orgChart1"/>
    <dgm:cxn modelId="{120CECA3-44C7-4A13-ABBA-EBC2F77F3166}" type="presOf" srcId="{86443D66-1FF0-4756-95DD-ECC227FB71A7}" destId="{132E3C14-8D28-4208-A130-D3C603B6E140}" srcOrd="1" destOrd="0" presId="urn:microsoft.com/office/officeart/2005/8/layout/orgChart1"/>
    <dgm:cxn modelId="{E0FC84A4-6958-4D92-8A77-FBD30C1564B8}" type="presOf" srcId="{43CDDE4A-F871-4638-A5ED-83BBF0650269}" destId="{5491F87D-D1F4-4A54-893B-2B3636406592}" srcOrd="0" destOrd="0" presId="urn:microsoft.com/office/officeart/2005/8/layout/orgChart1"/>
    <dgm:cxn modelId="{9E49A3A4-168B-4246-AE63-8944F95FB51E}" type="presOf" srcId="{F4592B1A-CED5-44A5-BE0A-9CA89A900E0B}" destId="{C691F20A-2FEA-46EA-A9AA-C89A0945BDC3}" srcOrd="1" destOrd="0" presId="urn:microsoft.com/office/officeart/2005/8/layout/orgChart1"/>
    <dgm:cxn modelId="{D92187A6-EA02-4026-B993-EDE4D58B7B6F}" type="presOf" srcId="{9152086F-4EAD-4F36-9B80-645A4E65466C}" destId="{C6003688-8891-4E3A-B9CA-D58DDDC82F60}" srcOrd="0" destOrd="0" presId="urn:microsoft.com/office/officeart/2005/8/layout/orgChart1"/>
    <dgm:cxn modelId="{507690A9-86BB-40DF-8DBF-25340767ECA2}" type="presOf" srcId="{AB4F41D4-A32F-4DE4-9128-25525A0A4062}" destId="{20BCC644-167B-4747-B275-E611ADB7B740}" srcOrd="0" destOrd="0" presId="urn:microsoft.com/office/officeart/2005/8/layout/orgChart1"/>
    <dgm:cxn modelId="{636C22AB-16F5-4996-B74C-33EE3BA37F5C}" type="presOf" srcId="{1507EA25-95CD-4438-8129-97A51621F326}" destId="{D40B097B-D4B6-4D1E-BFC4-06C5F94AA668}" srcOrd="0" destOrd="0" presId="urn:microsoft.com/office/officeart/2005/8/layout/orgChart1"/>
    <dgm:cxn modelId="{09F369AC-D94B-4B95-8FE3-CDDE2153B4F6}" type="presOf" srcId="{9A8C22D6-3A74-4045-B2C0-DD4CD64947BB}" destId="{DF2317F1-218F-471D-8148-06851530F0B9}" srcOrd="1" destOrd="0" presId="urn:microsoft.com/office/officeart/2005/8/layout/orgChart1"/>
    <dgm:cxn modelId="{613972AE-7A48-4726-AB5F-E827DA48863C}" srcId="{34272F97-9966-4D22-A40E-E6000C3CE4E7}" destId="{E0735B4A-B032-4A5D-902A-DB371A194639}" srcOrd="1" destOrd="0" parTransId="{640F36C4-5FCC-4D6E-AAA3-0CAEDEBA2B05}" sibTransId="{A1883264-4A77-4095-A5AF-8E57EEA8F71E}"/>
    <dgm:cxn modelId="{08FA4AB0-15BE-463D-9BDA-F0F3B5471535}" srcId="{878101BB-0A62-4322-8176-4241DEB06C39}" destId="{527433A6-4837-49F1-B75C-0582041AD886}" srcOrd="5" destOrd="0" parTransId="{43CDDE4A-F871-4638-A5ED-83BBF0650269}" sibTransId="{58204647-D158-428B-BA20-E4BE139757C3}"/>
    <dgm:cxn modelId="{5EDF9DB0-1FAF-4D4E-9522-9D4873E3CD94}" type="presOf" srcId="{F5115B59-5952-4CE5-9961-84F5EE4AB0C7}" destId="{28CEB212-7E77-435C-88DE-D634967D06FA}" srcOrd="0" destOrd="0" presId="urn:microsoft.com/office/officeart/2005/8/layout/orgChart1"/>
    <dgm:cxn modelId="{999378B2-DF86-4D4A-8C86-505556752263}" type="presOf" srcId="{983B35BF-99EA-4508-8F08-BFB09B3BB35D}" destId="{9E17A56F-9C37-4700-8C91-0225C5987C02}" srcOrd="0" destOrd="0" presId="urn:microsoft.com/office/officeart/2005/8/layout/orgChart1"/>
    <dgm:cxn modelId="{75CC3DB3-350E-47DC-8096-69057850248F}" srcId="{4FE8EBDC-F4E7-4496-AD9B-33B2DD2FE079}" destId="{AB4F41D4-A32F-4DE4-9128-25525A0A4062}" srcOrd="2" destOrd="0" parTransId="{44FAC367-ADAB-4303-B7C8-4AD4F3E31EEB}" sibTransId="{270C665C-ED41-4BFF-B000-022E6602E93F}"/>
    <dgm:cxn modelId="{0F6F40B5-CF36-43C2-88AC-E154BEACEF27}" type="presOf" srcId="{43951C17-FEF8-43A2-9EFB-001DD19CDBE0}" destId="{74CF39B5-FA89-4D06-A802-BBD6C523EF8B}" srcOrd="1" destOrd="0" presId="urn:microsoft.com/office/officeart/2005/8/layout/orgChart1"/>
    <dgm:cxn modelId="{E98445B5-628C-4DF7-92BA-703CFB537E4F}" type="presOf" srcId="{203E615F-5C7B-44F4-8713-195F604AC0EE}" destId="{025FA375-B041-4AED-A61A-C166E6DD1D7F}" srcOrd="0" destOrd="0" presId="urn:microsoft.com/office/officeart/2005/8/layout/orgChart1"/>
    <dgm:cxn modelId="{927B4EBA-61B7-42DD-9B26-41561441F827}" srcId="{4FE8EBDC-F4E7-4496-AD9B-33B2DD2FE079}" destId="{90373C00-5E68-47AA-9F3F-10343E9F83F6}" srcOrd="0" destOrd="0" parTransId="{AB606A84-92C2-4617-8DD1-B1B6F2E0E7F5}" sibTransId="{AB933364-1C90-4800-8A5B-E8BDDCB5AA7C}"/>
    <dgm:cxn modelId="{4C40B5BC-573F-424B-B531-8CD7FC67513C}" type="presOf" srcId="{85033BE6-C2A2-407B-A087-7CE4DEF23F66}" destId="{609B2F67-E5C1-49A3-B2A4-1CF9E5154E6A}" srcOrd="1" destOrd="0" presId="urn:microsoft.com/office/officeart/2005/8/layout/orgChart1"/>
    <dgm:cxn modelId="{647E08BD-A4D8-49EC-ABF7-57700959895C}" type="presOf" srcId="{527433A6-4837-49F1-B75C-0582041AD886}" destId="{BC6F6FE4-4400-484C-823D-FA42F132BB08}" srcOrd="0" destOrd="0" presId="urn:microsoft.com/office/officeart/2005/8/layout/orgChart1"/>
    <dgm:cxn modelId="{78A494BD-5896-4791-9B36-063A1F313A2F}" srcId="{34272F97-9966-4D22-A40E-E6000C3CE4E7}" destId="{55202F3C-4C51-4544-92A6-B9C8AD8E741C}" srcOrd="6" destOrd="0" parTransId="{48DDC5B7-82DB-4312-8F11-711D5A3F29CD}" sibTransId="{FF6E3A9B-EE83-43BE-863C-8CE58ED18EDD}"/>
    <dgm:cxn modelId="{E4999ABE-D44A-4C03-B0E6-6676EC7C88ED}" type="presOf" srcId="{34272F97-9966-4D22-A40E-E6000C3CE4E7}" destId="{809A3BC2-E954-45CE-8902-E67F964F0EA9}" srcOrd="0" destOrd="0" presId="urn:microsoft.com/office/officeart/2005/8/layout/orgChart1"/>
    <dgm:cxn modelId="{326342C1-CD34-4E9A-8EA6-51332F8071D9}" type="presOf" srcId="{FEF9ADFA-C473-4386-BB8B-414C3CDC102C}" destId="{54344BF7-E9DC-4C6B-8742-C1203F77DADC}" srcOrd="0" destOrd="0" presId="urn:microsoft.com/office/officeart/2005/8/layout/orgChart1"/>
    <dgm:cxn modelId="{3C0275C2-B304-4686-AB91-3AEEE1ABCF47}" srcId="{385F8D00-C7F7-4A0C-AE27-995E79EB7EDA}" destId="{339DCD3A-2317-4FE7-BE0E-5495A5C870F7}" srcOrd="0" destOrd="0" parTransId="{7BBBDE84-C6AF-4F36-A3B6-F147AC908D28}" sibTransId="{92EADC76-42EE-4A18-B8B0-C026FE00BC56}"/>
    <dgm:cxn modelId="{1B1A71C3-1DF1-40AB-957A-01814A688B5D}" type="presOf" srcId="{E9EC0062-112D-43EE-B619-FCCA76F8F530}" destId="{BEA14751-1ADD-4D02-87D7-2FFC8888D33C}" srcOrd="0" destOrd="0" presId="urn:microsoft.com/office/officeart/2005/8/layout/orgChart1"/>
    <dgm:cxn modelId="{844544C4-935D-4631-AEAF-6FE734088B89}" type="presOf" srcId="{5616111F-9F3E-480C-BFEE-AAF848FCA207}" destId="{3D71D841-712F-4D76-89F3-0DB7A1D26C62}" srcOrd="0" destOrd="0" presId="urn:microsoft.com/office/officeart/2005/8/layout/orgChart1"/>
    <dgm:cxn modelId="{587FDBC6-1A89-40DB-A6B7-3BA6CE12D47F}" type="presOf" srcId="{ECD0A62C-09DB-419F-9FD0-54A16E385BDF}" destId="{32A7DEE1-46C1-4C98-824E-B761B023C4EF}" srcOrd="0" destOrd="0" presId="urn:microsoft.com/office/officeart/2005/8/layout/orgChart1"/>
    <dgm:cxn modelId="{77DE9CC8-C32E-41AE-A14E-01DA5E8CAC25}" type="presOf" srcId="{48DDC5B7-82DB-4312-8F11-711D5A3F29CD}" destId="{09483BB6-3096-43E2-925D-5544951B95F6}" srcOrd="0" destOrd="0" presId="urn:microsoft.com/office/officeart/2005/8/layout/orgChart1"/>
    <dgm:cxn modelId="{4072CACB-AA2D-40AF-8086-BAFF469A385B}" srcId="{24CBDFE5-6695-4C77-8BD9-9C34B10B1DA6}" destId="{4835F541-6F80-4BAC-A101-42BCAA22D4CF}" srcOrd="0" destOrd="0" parTransId="{2562934D-891F-4502-98FF-DDAA7059AA51}" sibTransId="{8DB434B8-8CE3-43B7-B865-C6FBC5554AB0}"/>
    <dgm:cxn modelId="{9A1817CD-1B2D-491F-888B-9F8ECBA5EB05}" srcId="{203E615F-5C7B-44F4-8713-195F604AC0EE}" destId="{4459596B-D8E5-4A53-B54E-245CC9EFB7BB}" srcOrd="1" destOrd="0" parTransId="{6AB6B9C6-B1A1-4D80-9023-603557F985C0}" sibTransId="{3A0CCC16-CFE1-44C4-BFBA-0CD953269212}"/>
    <dgm:cxn modelId="{6A256BCE-A14F-4635-BC31-647EF31471E5}" type="presOf" srcId="{2DC7BEEA-984E-4BA9-A348-A2FD06B09A24}" destId="{8981F1F3-545D-44DE-9AB5-6C26AD224AC2}" srcOrd="0" destOrd="0" presId="urn:microsoft.com/office/officeart/2005/8/layout/orgChart1"/>
    <dgm:cxn modelId="{372EDBD0-430B-41C8-BE70-809CB8D65C8A}" type="presOf" srcId="{2DC7BEEA-984E-4BA9-A348-A2FD06B09A24}" destId="{28BA6C23-E442-42E8-828B-0FE625BA3DCA}" srcOrd="1" destOrd="0" presId="urn:microsoft.com/office/officeart/2005/8/layout/orgChart1"/>
    <dgm:cxn modelId="{B162D2D2-6438-49E8-8718-B3471AAB87AE}" type="presOf" srcId="{385F8D00-C7F7-4A0C-AE27-995E79EB7EDA}" destId="{58FA21DD-3F2F-45C9-8E2E-233D5343EFE3}" srcOrd="0" destOrd="0" presId="urn:microsoft.com/office/officeart/2005/8/layout/orgChart1"/>
    <dgm:cxn modelId="{B74983D3-2985-4A8B-A8CB-E4DAA2CF2B67}" srcId="{878101BB-0A62-4322-8176-4241DEB06C39}" destId="{2E5C14C2-E375-4531-A197-30A2CA41B2EE}" srcOrd="0" destOrd="0" parTransId="{D680A8EE-389D-4548-92C3-30753F8016CC}" sibTransId="{0E41B574-6890-421D-B266-C040190F8FCB}"/>
    <dgm:cxn modelId="{3FBCF5D4-B5B3-4198-9866-14B02F8EB5C3}" srcId="{878101BB-0A62-4322-8176-4241DEB06C39}" destId="{278E98E7-C32C-40CE-AE06-DFA1EA751EFA}" srcOrd="4" destOrd="0" parTransId="{6F9195E7-C6A9-44F7-A2A5-A2A9F5281628}" sibTransId="{A2346A10-6F2F-4258-9275-B751ABABF722}"/>
    <dgm:cxn modelId="{5EE03ED7-9A65-46A7-97E8-585ECF9E1334}" type="presOf" srcId="{6B5F966D-4A11-4249-9885-B954212AFA75}" destId="{7678DBFA-626D-4C1F-A07E-3894A526F19D}" srcOrd="1" destOrd="0" presId="urn:microsoft.com/office/officeart/2005/8/layout/orgChart1"/>
    <dgm:cxn modelId="{7D0898D7-06AB-4E7B-9E50-7E2C455F9AB9}" type="presOf" srcId="{90373C00-5E68-47AA-9F3F-10343E9F83F6}" destId="{8F1FFB0A-A0CB-4DC2-8A7A-FD3D814A4BE8}" srcOrd="1" destOrd="0" presId="urn:microsoft.com/office/officeart/2005/8/layout/orgChart1"/>
    <dgm:cxn modelId="{ACBE27D8-81AD-494A-B344-DDC08470A9E4}" srcId="{34272F97-9966-4D22-A40E-E6000C3CE4E7}" destId="{43951C17-FEF8-43A2-9EFB-001DD19CDBE0}" srcOrd="8" destOrd="0" parTransId="{B5251A56-B076-42D4-A0C4-5FF6CED31AA1}" sibTransId="{0AD47476-485F-4C8E-8E52-7AE550672B53}"/>
    <dgm:cxn modelId="{486AE9D8-9D86-455C-959B-50FF3FBF0046}" srcId="{339DCD3A-2317-4FE7-BE0E-5495A5C870F7}" destId="{1507EA25-95CD-4438-8129-97A51621F326}" srcOrd="1" destOrd="0" parTransId="{AEA9822A-1CAA-4BB5-8884-592FBA41FE65}" sibTransId="{F89515C4-9AB2-4E44-8489-91801A7901FB}"/>
    <dgm:cxn modelId="{3AE22ADC-12AA-4C8B-90C3-DF815E764912}" type="presOf" srcId="{6760C1B7-553B-4DD6-9596-B6A0210ECEED}" destId="{EF511E45-A3A5-453B-8248-C41BBF0D1E35}" srcOrd="1" destOrd="0" presId="urn:microsoft.com/office/officeart/2005/8/layout/orgChart1"/>
    <dgm:cxn modelId="{7D579BDC-5BA7-45E4-BEE8-D8F8379DBAAB}" type="presOf" srcId="{2E5C14C2-E375-4531-A197-30A2CA41B2EE}" destId="{F41015AD-F375-40A7-8094-DDA92C2189F5}" srcOrd="0" destOrd="0" presId="urn:microsoft.com/office/officeart/2005/8/layout/orgChart1"/>
    <dgm:cxn modelId="{F09A02DD-964A-4C65-AA68-0A92F4B03646}" type="presOf" srcId="{4FE8EBDC-F4E7-4496-AD9B-33B2DD2FE079}" destId="{623CA0F5-C272-4B72-ABEE-B7223782C194}" srcOrd="1" destOrd="0" presId="urn:microsoft.com/office/officeart/2005/8/layout/orgChart1"/>
    <dgm:cxn modelId="{9AEA44DF-3CE3-4BE7-9447-8C02B6356CE7}" type="presOf" srcId="{7535E044-E6BC-45C1-9B3B-119EEABBE04A}" destId="{BDA4091C-6E5A-4BA7-A0E8-38B41454F427}" srcOrd="0" destOrd="0" presId="urn:microsoft.com/office/officeart/2005/8/layout/orgChart1"/>
    <dgm:cxn modelId="{F08780DF-F44E-4CB0-AB31-6378993F311F}" srcId="{F4592B1A-CED5-44A5-BE0A-9CA89A900E0B}" destId="{34272F97-9966-4D22-A40E-E6000C3CE4E7}" srcOrd="0" destOrd="0" parTransId="{156B12F6-6B82-4B4A-B82A-CE3C4D11E9C2}" sibTransId="{7803803F-481E-4C41-A5AF-807C84A0017A}"/>
    <dgm:cxn modelId="{1E54A6E0-20FC-4D68-95B3-76AC092F924F}" type="presOf" srcId="{87EDD88A-D41B-4E21-8B62-3145E5CF2BFA}" destId="{7E9ECE24-F11A-4ABB-89DF-C01E0A9FD2CC}" srcOrd="0" destOrd="0" presId="urn:microsoft.com/office/officeart/2005/8/layout/orgChart1"/>
    <dgm:cxn modelId="{79ED2EE4-F079-4491-92FE-FF46EAA49199}" type="presOf" srcId="{090ABDCE-A46B-41F5-A51F-83F635349A6B}" destId="{88711CEE-209A-4467-B2DE-D0614A9CAF2B}" srcOrd="0" destOrd="0" presId="urn:microsoft.com/office/officeart/2005/8/layout/orgChart1"/>
    <dgm:cxn modelId="{4D2D8DE4-75B8-40FC-8EE1-7B239605A186}" type="presOf" srcId="{D55D665C-FF11-40CE-8C95-0D5F3312BD53}" destId="{3B7567BB-5A51-401D-ADB8-D0CFC5EA9E57}" srcOrd="1" destOrd="0" presId="urn:microsoft.com/office/officeart/2005/8/layout/orgChart1"/>
    <dgm:cxn modelId="{37CED5E7-C06F-40C2-9E2B-BEA9F6C088A5}" type="presOf" srcId="{E0735B4A-B032-4A5D-902A-DB371A194639}" destId="{2ABBE4DC-18FF-4AF2-9D45-5202F0A9DE31}" srcOrd="1" destOrd="0" presId="urn:microsoft.com/office/officeart/2005/8/layout/orgChart1"/>
    <dgm:cxn modelId="{946128E8-1A71-447D-9EB8-DF4CCFCFFF42}" srcId="{203E615F-5C7B-44F4-8713-195F604AC0EE}" destId="{4FE8EBDC-F4E7-4496-AD9B-33B2DD2FE079}" srcOrd="0" destOrd="0" parTransId="{ECD0A62C-09DB-419F-9FD0-54A16E385BDF}" sibTransId="{35DCF1E6-52BB-40C5-9C44-ACA3044EDB0F}"/>
    <dgm:cxn modelId="{AB5F90E8-D5C1-4A2A-A674-1311CEE65C7A}" srcId="{4FE8EBDC-F4E7-4496-AD9B-33B2DD2FE079}" destId="{86443D66-1FF0-4756-95DD-ECC227FB71A7}" srcOrd="1" destOrd="0" parTransId="{E1EB5A33-5038-4331-B8DE-2C30ED22B2EE}" sibTransId="{FB59FE21-7388-4131-9A54-6C4071070E08}"/>
    <dgm:cxn modelId="{F7EFEDEC-052B-4797-9E59-8D5A69E34794}" type="presOf" srcId="{278E98E7-C32C-40CE-AE06-DFA1EA751EFA}" destId="{B96D179E-EF7F-44CD-9B87-869C0A8D1A8A}" srcOrd="0" destOrd="0" presId="urn:microsoft.com/office/officeart/2005/8/layout/orgChart1"/>
    <dgm:cxn modelId="{6E9CFAEC-5CA8-4BDA-87DD-419D2D793D46}" type="presOf" srcId="{3476632C-3E60-4C5E-B95F-1296483B3F54}" destId="{FF195630-AB66-4658-A4DC-FCC1F9C911F0}" srcOrd="0" destOrd="0" presId="urn:microsoft.com/office/officeart/2005/8/layout/orgChart1"/>
    <dgm:cxn modelId="{6A23D7ED-009A-465B-B40A-A9359B293699}" type="presOf" srcId="{7BF133F5-E888-4C0D-AFFF-6A0DA836D326}" destId="{DA0F1F35-C154-4688-A4A2-31023C7FB110}" srcOrd="0" destOrd="0" presId="urn:microsoft.com/office/officeart/2005/8/layout/orgChart1"/>
    <dgm:cxn modelId="{A007A0F0-2BDF-4EF2-B6BC-107AF5E8978D}" type="presOf" srcId="{640F36C4-5FCC-4D6E-AAA3-0CAEDEBA2B05}" destId="{BFAC3BAC-3696-4BA0-A877-29A97AF2CC5F}" srcOrd="0" destOrd="0" presId="urn:microsoft.com/office/officeart/2005/8/layout/orgChart1"/>
    <dgm:cxn modelId="{657FCCF0-4D56-43D7-BFB3-724333F8CA45}" srcId="{878101BB-0A62-4322-8176-4241DEB06C39}" destId="{D14D54B2-3519-4DAA-9CFD-D2B70E35671F}" srcOrd="3" destOrd="0" parTransId="{9152086F-4EAD-4F36-9B80-645A4E65466C}" sibTransId="{DAB75EA0-1F36-4AEE-8147-7C509F9EE61B}"/>
    <dgm:cxn modelId="{B46329F7-EF44-4F98-9C09-7AD09C0AF74C}" type="presOf" srcId="{7535E044-E6BC-45C1-9B3B-119EEABBE04A}" destId="{06E21C87-65A8-4BE3-B0C8-1094CA1F891E}" srcOrd="1" destOrd="0" presId="urn:microsoft.com/office/officeart/2005/8/layout/orgChart1"/>
    <dgm:cxn modelId="{EA2A9FFD-C405-4EB1-99AD-334FCF811534}" srcId="{2DC7BEEA-984E-4BA9-A348-A2FD06B09A24}" destId="{6760C1B7-553B-4DD6-9596-B6A0210ECEED}" srcOrd="0" destOrd="0" parTransId="{87EDD88A-D41B-4E21-8B62-3145E5CF2BFA}" sibTransId="{C1CED10E-71F1-40F9-BA37-44024455D326}"/>
    <dgm:cxn modelId="{F1FD5DFE-AD9B-4E99-9C3C-4D73351DB1CF}" type="presOf" srcId="{D680A8EE-389D-4548-92C3-30753F8016CC}" destId="{F5255AA6-56C8-4D50-A68F-85A765536CB2}" srcOrd="0" destOrd="0" presId="urn:microsoft.com/office/officeart/2005/8/layout/orgChart1"/>
    <dgm:cxn modelId="{3DBC24B8-B0B6-42A7-9F5F-154F89191ECF}" type="presParOf" srcId="{FCF11548-7FAA-4D75-97DF-4258BED40F4C}" destId="{E994EAA7-F097-47E7-A64C-2751E8710010}" srcOrd="0" destOrd="0" presId="urn:microsoft.com/office/officeart/2005/8/layout/orgChart1"/>
    <dgm:cxn modelId="{DD619E03-E84D-4E27-9EE3-CE0958702217}" type="presParOf" srcId="{E994EAA7-F097-47E7-A64C-2751E8710010}" destId="{C253C18E-53B2-48F2-A662-69D577C3ADDE}" srcOrd="0" destOrd="0" presId="urn:microsoft.com/office/officeart/2005/8/layout/orgChart1"/>
    <dgm:cxn modelId="{24A78A73-70E0-4D3C-947D-32F5A410AE62}" type="presParOf" srcId="{C253C18E-53B2-48F2-A662-69D577C3ADDE}" destId="{478F74FB-61C5-4FA8-8D56-C70F3A9B0B40}" srcOrd="0" destOrd="0" presId="urn:microsoft.com/office/officeart/2005/8/layout/orgChart1"/>
    <dgm:cxn modelId="{2D276266-18DF-49ED-9FD5-44A478D022AD}" type="presParOf" srcId="{C253C18E-53B2-48F2-A662-69D577C3ADDE}" destId="{5A8382B9-2F70-4A0B-93F3-909D4B606BDC}" srcOrd="1" destOrd="0" presId="urn:microsoft.com/office/officeart/2005/8/layout/orgChart1"/>
    <dgm:cxn modelId="{F2D78758-C3B4-4164-B4AF-66CA981554E2}" type="presParOf" srcId="{E994EAA7-F097-47E7-A64C-2751E8710010}" destId="{03770238-C14D-43DD-9179-71DDE6FE2D4F}" srcOrd="1" destOrd="0" presId="urn:microsoft.com/office/officeart/2005/8/layout/orgChart1"/>
    <dgm:cxn modelId="{D791EAF8-2D60-4BCE-A3C0-4E2C65E76B6A}" type="presParOf" srcId="{E994EAA7-F097-47E7-A64C-2751E8710010}" destId="{9EE7AF9F-30FD-4AD7-8C5E-ED0D12BD249E}" srcOrd="2" destOrd="0" presId="urn:microsoft.com/office/officeart/2005/8/layout/orgChart1"/>
    <dgm:cxn modelId="{BE44C689-61F9-4F02-B7B9-34FA912E85F6}" type="presParOf" srcId="{9EE7AF9F-30FD-4AD7-8C5E-ED0D12BD249E}" destId="{4F40A149-E423-4A91-A337-7ADCEC1B0EB7}" srcOrd="0" destOrd="0" presId="urn:microsoft.com/office/officeart/2005/8/layout/orgChart1"/>
    <dgm:cxn modelId="{96C6678F-7676-4E20-AB36-F1E482E8E9FB}" type="presParOf" srcId="{9EE7AF9F-30FD-4AD7-8C5E-ED0D12BD249E}" destId="{23E6F1F3-C5AE-45F0-BC67-7C65EEAE2FC7}" srcOrd="1" destOrd="0" presId="urn:microsoft.com/office/officeart/2005/8/layout/orgChart1"/>
    <dgm:cxn modelId="{D3F76E7C-569B-4740-B597-38280E0DA1B9}" type="presParOf" srcId="{23E6F1F3-C5AE-45F0-BC67-7C65EEAE2FC7}" destId="{789CA5A2-0833-4490-A512-FD4B27EBEBC0}" srcOrd="0" destOrd="0" presId="urn:microsoft.com/office/officeart/2005/8/layout/orgChart1"/>
    <dgm:cxn modelId="{398E60B0-6702-49CC-8331-ABAC30385D11}" type="presParOf" srcId="{789CA5A2-0833-4490-A512-FD4B27EBEBC0}" destId="{8981F1F3-545D-44DE-9AB5-6C26AD224AC2}" srcOrd="0" destOrd="0" presId="urn:microsoft.com/office/officeart/2005/8/layout/orgChart1"/>
    <dgm:cxn modelId="{5B3319AA-9202-42ED-9170-042E8BE799F3}" type="presParOf" srcId="{789CA5A2-0833-4490-A512-FD4B27EBEBC0}" destId="{28BA6C23-E442-42E8-828B-0FE625BA3DCA}" srcOrd="1" destOrd="0" presId="urn:microsoft.com/office/officeart/2005/8/layout/orgChart1"/>
    <dgm:cxn modelId="{D0833F59-5889-441A-B71B-DDEF81AC6046}" type="presParOf" srcId="{23E6F1F3-C5AE-45F0-BC67-7C65EEAE2FC7}" destId="{362C23AA-F84B-4745-94C8-DB68AC23B3D9}" srcOrd="1" destOrd="0" presId="urn:microsoft.com/office/officeart/2005/8/layout/orgChart1"/>
    <dgm:cxn modelId="{9B1036A5-5DF4-42F6-9578-496D9B303689}" type="presParOf" srcId="{23E6F1F3-C5AE-45F0-BC67-7C65EEAE2FC7}" destId="{8AA994FB-AFC7-48BF-8508-89F22694B253}" srcOrd="2" destOrd="0" presId="urn:microsoft.com/office/officeart/2005/8/layout/orgChart1"/>
    <dgm:cxn modelId="{E400F008-6BF1-4540-B4E7-ABBC704C0185}" type="presParOf" srcId="{8AA994FB-AFC7-48BF-8508-89F22694B253}" destId="{7E9ECE24-F11A-4ABB-89DF-C01E0A9FD2CC}" srcOrd="0" destOrd="0" presId="urn:microsoft.com/office/officeart/2005/8/layout/orgChart1"/>
    <dgm:cxn modelId="{EBB99083-379D-431D-8F5C-E1C936991BFC}" type="presParOf" srcId="{8AA994FB-AFC7-48BF-8508-89F22694B253}" destId="{FA952BF1-58E0-409E-9BAF-5C51555D26DD}" srcOrd="1" destOrd="0" presId="urn:microsoft.com/office/officeart/2005/8/layout/orgChart1"/>
    <dgm:cxn modelId="{881C548A-C724-46F3-B261-049D159E94DC}" type="presParOf" srcId="{FA952BF1-58E0-409E-9BAF-5C51555D26DD}" destId="{A130C4D7-A7E8-43A6-8297-27689E98C7A1}" srcOrd="0" destOrd="0" presId="urn:microsoft.com/office/officeart/2005/8/layout/orgChart1"/>
    <dgm:cxn modelId="{D46EE25C-E34B-476C-84E6-10890734419A}" type="presParOf" srcId="{A130C4D7-A7E8-43A6-8297-27689E98C7A1}" destId="{D972D2BE-3F8E-4F29-BF1B-BDE8AB4B7B77}" srcOrd="0" destOrd="0" presId="urn:microsoft.com/office/officeart/2005/8/layout/orgChart1"/>
    <dgm:cxn modelId="{EB93A67C-F8E0-4ACA-9CBF-D2142A0E355F}" type="presParOf" srcId="{A130C4D7-A7E8-43A6-8297-27689E98C7A1}" destId="{EF511E45-A3A5-453B-8248-C41BBF0D1E35}" srcOrd="1" destOrd="0" presId="urn:microsoft.com/office/officeart/2005/8/layout/orgChart1"/>
    <dgm:cxn modelId="{945D8EC8-8DDC-4DB8-BA17-41242B0B8E11}" type="presParOf" srcId="{FA952BF1-58E0-409E-9BAF-5C51555D26DD}" destId="{F7E9A935-B07F-412C-A7CA-B7C976EDF7D9}" srcOrd="1" destOrd="0" presId="urn:microsoft.com/office/officeart/2005/8/layout/orgChart1"/>
    <dgm:cxn modelId="{852BDFD9-E3CE-418A-938C-476BDD494FD5}" type="presParOf" srcId="{FA952BF1-58E0-409E-9BAF-5C51555D26DD}" destId="{71031CBA-4D8C-4E8D-A3BA-6A786856015F}" srcOrd="2" destOrd="0" presId="urn:microsoft.com/office/officeart/2005/8/layout/orgChart1"/>
    <dgm:cxn modelId="{7D487D1F-172F-4F29-92A5-2177845EBE6B}" type="presParOf" srcId="{8AA994FB-AFC7-48BF-8508-89F22694B253}" destId="{88711CEE-209A-4467-B2DE-D0614A9CAF2B}" srcOrd="2" destOrd="0" presId="urn:microsoft.com/office/officeart/2005/8/layout/orgChart1"/>
    <dgm:cxn modelId="{C166527F-908A-4F1B-89C4-8BC861C05CB1}" type="presParOf" srcId="{8AA994FB-AFC7-48BF-8508-89F22694B253}" destId="{7CE74371-5F83-47C0-81C0-F4C29FADE01B}" srcOrd="3" destOrd="0" presId="urn:microsoft.com/office/officeart/2005/8/layout/orgChart1"/>
    <dgm:cxn modelId="{B1F671D9-CAFC-4522-BC8F-54D093D7948B}" type="presParOf" srcId="{7CE74371-5F83-47C0-81C0-F4C29FADE01B}" destId="{9269DBAC-4076-48B8-BF1B-107CE7837F51}" srcOrd="0" destOrd="0" presId="urn:microsoft.com/office/officeart/2005/8/layout/orgChart1"/>
    <dgm:cxn modelId="{09A4378A-0385-4CCE-8425-B43BB54B64F3}" type="presParOf" srcId="{9269DBAC-4076-48B8-BF1B-107CE7837F51}" destId="{58FA21DD-3F2F-45C9-8E2E-233D5343EFE3}" srcOrd="0" destOrd="0" presId="urn:microsoft.com/office/officeart/2005/8/layout/orgChart1"/>
    <dgm:cxn modelId="{65E2FF21-900A-40B4-9C99-777BB0A847AF}" type="presParOf" srcId="{9269DBAC-4076-48B8-BF1B-107CE7837F51}" destId="{AC4BAC35-8EC5-4C8D-A1F9-F4C9620F8F71}" srcOrd="1" destOrd="0" presId="urn:microsoft.com/office/officeart/2005/8/layout/orgChart1"/>
    <dgm:cxn modelId="{785FA1B3-5B2A-465C-AA9B-717DD730ECA8}" type="presParOf" srcId="{7CE74371-5F83-47C0-81C0-F4C29FADE01B}" destId="{2F78C291-111E-4F59-A2AE-360E9D9E519B}" srcOrd="1" destOrd="0" presId="urn:microsoft.com/office/officeart/2005/8/layout/orgChart1"/>
    <dgm:cxn modelId="{02BB9EFC-C08E-4AC0-B327-11B727B72C48}" type="presParOf" srcId="{7CE74371-5F83-47C0-81C0-F4C29FADE01B}" destId="{8C3363A7-E4F0-4417-A2AA-176BD7F7EE98}" srcOrd="2" destOrd="0" presId="urn:microsoft.com/office/officeart/2005/8/layout/orgChart1"/>
    <dgm:cxn modelId="{18C989DF-AB16-4495-9913-7BD1C1548164}" type="presParOf" srcId="{8C3363A7-E4F0-4417-A2AA-176BD7F7EE98}" destId="{E3917415-F641-4A2F-A1B4-9B1E839C9B2D}" srcOrd="0" destOrd="0" presId="urn:microsoft.com/office/officeart/2005/8/layout/orgChart1"/>
    <dgm:cxn modelId="{329CF40F-9839-4695-8D47-E50566B94FC3}" type="presParOf" srcId="{8C3363A7-E4F0-4417-A2AA-176BD7F7EE98}" destId="{A3BFBBD6-D705-4E02-B4F4-8060B6A3C510}" srcOrd="1" destOrd="0" presId="urn:microsoft.com/office/officeart/2005/8/layout/orgChart1"/>
    <dgm:cxn modelId="{26A29394-3422-4CAA-955D-657A1218E859}" type="presParOf" srcId="{A3BFBBD6-D705-4E02-B4F4-8060B6A3C510}" destId="{54F4A352-ACDD-4504-95F7-EA3FDEB5BFA3}" srcOrd="0" destOrd="0" presId="urn:microsoft.com/office/officeart/2005/8/layout/orgChart1"/>
    <dgm:cxn modelId="{071571E9-CD1E-4CD1-8B20-9C8BB05045EB}" type="presParOf" srcId="{54F4A352-ACDD-4504-95F7-EA3FDEB5BFA3}" destId="{9FB18A12-7A9E-4F3E-AE30-FC6483217B23}" srcOrd="0" destOrd="0" presId="urn:microsoft.com/office/officeart/2005/8/layout/orgChart1"/>
    <dgm:cxn modelId="{3F566E51-1AEC-4DF5-A175-96092C46AE55}" type="presParOf" srcId="{54F4A352-ACDD-4504-95F7-EA3FDEB5BFA3}" destId="{289F125A-E199-453D-AFB4-9AE532BEC254}" srcOrd="1" destOrd="0" presId="urn:microsoft.com/office/officeart/2005/8/layout/orgChart1"/>
    <dgm:cxn modelId="{B4735B79-7EA5-4180-96D7-AEC3DCF5C596}" type="presParOf" srcId="{A3BFBBD6-D705-4E02-B4F4-8060B6A3C510}" destId="{6E850C29-12D1-470A-9660-7757DB99EF31}" srcOrd="1" destOrd="0" presId="urn:microsoft.com/office/officeart/2005/8/layout/orgChart1"/>
    <dgm:cxn modelId="{75BF84F7-64E7-4E98-A161-B7C4DB3FBB32}" type="presParOf" srcId="{A3BFBBD6-D705-4E02-B4F4-8060B6A3C510}" destId="{DA11C6CF-6E83-4CC4-9874-DA1C91CB25AA}" srcOrd="2" destOrd="0" presId="urn:microsoft.com/office/officeart/2005/8/layout/orgChart1"/>
    <dgm:cxn modelId="{A02BB707-745B-4E68-B7B9-D51CDD085885}" type="presParOf" srcId="{DA11C6CF-6E83-4CC4-9874-DA1C91CB25AA}" destId="{9E17A56F-9C37-4700-8C91-0225C5987C02}" srcOrd="0" destOrd="0" presId="urn:microsoft.com/office/officeart/2005/8/layout/orgChart1"/>
    <dgm:cxn modelId="{C5FEAF27-7D15-4EAC-B352-E936DC933DDB}" type="presParOf" srcId="{DA11C6CF-6E83-4CC4-9874-DA1C91CB25AA}" destId="{0B99CE76-A06A-494A-8064-490AB465F1EB}" srcOrd="1" destOrd="0" presId="urn:microsoft.com/office/officeart/2005/8/layout/orgChart1"/>
    <dgm:cxn modelId="{00B92C4C-4794-4DD7-8462-9CFFD744C6F0}" type="presParOf" srcId="{0B99CE76-A06A-494A-8064-490AB465F1EB}" destId="{527F5E26-6A31-446C-A9FD-82C84B1C67F0}" srcOrd="0" destOrd="0" presId="urn:microsoft.com/office/officeart/2005/8/layout/orgChart1"/>
    <dgm:cxn modelId="{A156E794-47A6-451F-8ED3-ED13318F6069}" type="presParOf" srcId="{527F5E26-6A31-446C-A9FD-82C84B1C67F0}" destId="{9D0E5FCE-0523-4AFB-8BA3-8FB8E81081B3}" srcOrd="0" destOrd="0" presId="urn:microsoft.com/office/officeart/2005/8/layout/orgChart1"/>
    <dgm:cxn modelId="{2D42D548-7F50-4555-B48C-42E64C768F00}" type="presParOf" srcId="{527F5E26-6A31-446C-A9FD-82C84B1C67F0}" destId="{7678DBFA-626D-4C1F-A07E-3894A526F19D}" srcOrd="1" destOrd="0" presId="urn:microsoft.com/office/officeart/2005/8/layout/orgChart1"/>
    <dgm:cxn modelId="{5708FABD-0719-489D-BAE3-6C2FE2C45A93}" type="presParOf" srcId="{0B99CE76-A06A-494A-8064-490AB465F1EB}" destId="{A1089E7A-48A1-482F-8467-B639DB9D6155}" srcOrd="1" destOrd="0" presId="urn:microsoft.com/office/officeart/2005/8/layout/orgChart1"/>
    <dgm:cxn modelId="{B84A1F07-D17A-4E5A-A95F-60A8806F8311}" type="presParOf" srcId="{0B99CE76-A06A-494A-8064-490AB465F1EB}" destId="{30E923B1-8824-4861-9D83-C055E61AB97D}" srcOrd="2" destOrd="0" presId="urn:microsoft.com/office/officeart/2005/8/layout/orgChart1"/>
    <dgm:cxn modelId="{1EC7A8D8-0CAB-4DEC-A312-1C4C0015A62A}" type="presParOf" srcId="{DA11C6CF-6E83-4CC4-9874-DA1C91CB25AA}" destId="{2BB0DDB4-12FE-4D64-96A4-1C66DEA30EA9}" srcOrd="2" destOrd="0" presId="urn:microsoft.com/office/officeart/2005/8/layout/orgChart1"/>
    <dgm:cxn modelId="{57A787C9-DB6A-4171-A464-D9EEEBD530C9}" type="presParOf" srcId="{DA11C6CF-6E83-4CC4-9874-DA1C91CB25AA}" destId="{28D9EE17-3DE6-47DB-82A5-CAD0020FAD3A}" srcOrd="3" destOrd="0" presId="urn:microsoft.com/office/officeart/2005/8/layout/orgChart1"/>
    <dgm:cxn modelId="{43328AE9-3139-40BE-9497-357A0E90693D}" type="presParOf" srcId="{28D9EE17-3DE6-47DB-82A5-CAD0020FAD3A}" destId="{5BAAE6E2-5A92-460E-B572-E2104E69CC21}" srcOrd="0" destOrd="0" presId="urn:microsoft.com/office/officeart/2005/8/layout/orgChart1"/>
    <dgm:cxn modelId="{1D71F934-BAAA-4B43-B076-C112E451FD58}" type="presParOf" srcId="{5BAAE6E2-5A92-460E-B572-E2104E69CC21}" destId="{D40B097B-D4B6-4D1E-BFC4-06C5F94AA668}" srcOrd="0" destOrd="0" presId="urn:microsoft.com/office/officeart/2005/8/layout/orgChart1"/>
    <dgm:cxn modelId="{3F956B66-F178-4A69-B89F-D1BC8387396C}" type="presParOf" srcId="{5BAAE6E2-5A92-460E-B572-E2104E69CC21}" destId="{4F775AAB-2564-4369-B531-0AC9CE97037F}" srcOrd="1" destOrd="0" presId="urn:microsoft.com/office/officeart/2005/8/layout/orgChart1"/>
    <dgm:cxn modelId="{55F7F830-8F62-45F7-9629-50AAB535D84F}" type="presParOf" srcId="{28D9EE17-3DE6-47DB-82A5-CAD0020FAD3A}" destId="{71CF3D0C-019B-4FB9-882E-B9DE1F29A788}" srcOrd="1" destOrd="0" presId="urn:microsoft.com/office/officeart/2005/8/layout/orgChart1"/>
    <dgm:cxn modelId="{B3F86650-CDC2-4A70-B871-104A59F839B0}" type="presParOf" srcId="{28D9EE17-3DE6-47DB-82A5-CAD0020FAD3A}" destId="{CB8CE36E-B953-4D88-A093-CECB775B7D1A}" srcOrd="2" destOrd="0" presId="urn:microsoft.com/office/officeart/2005/8/layout/orgChart1"/>
    <dgm:cxn modelId="{A3EA686E-58E8-4F07-ACB3-62D79CEECFB1}" type="presParOf" srcId="{DA11C6CF-6E83-4CC4-9874-DA1C91CB25AA}" destId="{ACE94CAF-E8A6-4CF4-BD1C-3775C74BEC6D}" srcOrd="4" destOrd="0" presId="urn:microsoft.com/office/officeart/2005/8/layout/orgChart1"/>
    <dgm:cxn modelId="{B372C7A7-12A8-4A7E-BA7E-1BF3AC4CE5F9}" type="presParOf" srcId="{DA11C6CF-6E83-4CC4-9874-DA1C91CB25AA}" destId="{57FB1BDA-DAB5-46C9-8182-FEB45A75FAF3}" srcOrd="5" destOrd="0" presId="urn:microsoft.com/office/officeart/2005/8/layout/orgChart1"/>
    <dgm:cxn modelId="{F367CD42-B7ED-4807-B8AE-EE385037601F}" type="presParOf" srcId="{57FB1BDA-DAB5-46C9-8182-FEB45A75FAF3}" destId="{7602BDC9-953A-45B5-9641-D99383A50E76}" srcOrd="0" destOrd="0" presId="urn:microsoft.com/office/officeart/2005/8/layout/orgChart1"/>
    <dgm:cxn modelId="{EA565A95-0BE9-4597-BF2E-697136967FA4}" type="presParOf" srcId="{7602BDC9-953A-45B5-9641-D99383A50E76}" destId="{DA0F1F35-C154-4688-A4A2-31023C7FB110}" srcOrd="0" destOrd="0" presId="urn:microsoft.com/office/officeart/2005/8/layout/orgChart1"/>
    <dgm:cxn modelId="{98D9373C-FB79-494D-84DB-50F64A76A202}" type="presParOf" srcId="{7602BDC9-953A-45B5-9641-D99383A50E76}" destId="{EABDDD6E-FA66-48BA-AA3B-FC18050939EE}" srcOrd="1" destOrd="0" presId="urn:microsoft.com/office/officeart/2005/8/layout/orgChart1"/>
    <dgm:cxn modelId="{F27BB886-F919-486C-978C-AA4CC988FBEE}" type="presParOf" srcId="{57FB1BDA-DAB5-46C9-8182-FEB45A75FAF3}" destId="{47B994C5-361F-457D-93DC-908B4229F727}" srcOrd="1" destOrd="0" presId="urn:microsoft.com/office/officeart/2005/8/layout/orgChart1"/>
    <dgm:cxn modelId="{A7F58624-45FC-48E4-970E-8588A5BC98C9}" type="presParOf" srcId="{57FB1BDA-DAB5-46C9-8182-FEB45A75FAF3}" destId="{903E3B9E-A0DA-4F3C-BB2E-6693E399241A}" srcOrd="2" destOrd="0" presId="urn:microsoft.com/office/officeart/2005/8/layout/orgChart1"/>
    <dgm:cxn modelId="{A1AF3FC2-5DF3-4B92-B503-DC075C4D9A40}" type="presParOf" srcId="{DA11C6CF-6E83-4CC4-9874-DA1C91CB25AA}" destId="{82516418-227E-4B27-8FB3-224A0D5A7A0D}" srcOrd="6" destOrd="0" presId="urn:microsoft.com/office/officeart/2005/8/layout/orgChart1"/>
    <dgm:cxn modelId="{40949B4C-700E-474D-A3CF-6CBA3C856778}" type="presParOf" srcId="{DA11C6CF-6E83-4CC4-9874-DA1C91CB25AA}" destId="{C5E21A6A-4933-4722-A3F3-01519CE69D9F}" srcOrd="7" destOrd="0" presId="urn:microsoft.com/office/officeart/2005/8/layout/orgChart1"/>
    <dgm:cxn modelId="{68D24784-EF23-4E22-A60E-4C74CE8DE856}" type="presParOf" srcId="{C5E21A6A-4933-4722-A3F3-01519CE69D9F}" destId="{42657F84-98A1-4FB5-BF7C-2A08C23F6ACB}" srcOrd="0" destOrd="0" presId="urn:microsoft.com/office/officeart/2005/8/layout/orgChart1"/>
    <dgm:cxn modelId="{6B70CC65-0C42-4C58-8920-458A2D2AF256}" type="presParOf" srcId="{42657F84-98A1-4FB5-BF7C-2A08C23F6ACB}" destId="{BDA4091C-6E5A-4BA7-A0E8-38B41454F427}" srcOrd="0" destOrd="0" presId="urn:microsoft.com/office/officeart/2005/8/layout/orgChart1"/>
    <dgm:cxn modelId="{AEF48DA4-45EE-4816-9B92-1778FCFD32A1}" type="presParOf" srcId="{42657F84-98A1-4FB5-BF7C-2A08C23F6ACB}" destId="{06E21C87-65A8-4BE3-B0C8-1094CA1F891E}" srcOrd="1" destOrd="0" presId="urn:microsoft.com/office/officeart/2005/8/layout/orgChart1"/>
    <dgm:cxn modelId="{78C32EB9-E66A-4193-84E3-2589D7E81814}" type="presParOf" srcId="{C5E21A6A-4933-4722-A3F3-01519CE69D9F}" destId="{D15F9A05-BF1D-4ECE-8658-E2CF13FBB28E}" srcOrd="1" destOrd="0" presId="urn:microsoft.com/office/officeart/2005/8/layout/orgChart1"/>
    <dgm:cxn modelId="{34FD87D0-AEFD-4302-9CD1-6901A5BE256B}" type="presParOf" srcId="{C5E21A6A-4933-4722-A3F3-01519CE69D9F}" destId="{15AF8854-5915-4524-8616-D1D6DDD24B42}" srcOrd="2" destOrd="0" presId="urn:microsoft.com/office/officeart/2005/8/layout/orgChart1"/>
    <dgm:cxn modelId="{D6C3A59E-1761-4CB0-BB4C-AEC5EEBB6A3C}" type="presParOf" srcId="{9EE7AF9F-30FD-4AD7-8C5E-ED0D12BD249E}" destId="{5A38456E-D50D-4166-BFB4-4E63C5ADABBD}" srcOrd="2" destOrd="0" presId="urn:microsoft.com/office/officeart/2005/8/layout/orgChart1"/>
    <dgm:cxn modelId="{74562993-549D-443B-AB61-41EA80100DBF}" type="presParOf" srcId="{9EE7AF9F-30FD-4AD7-8C5E-ED0D12BD249E}" destId="{B8B512AF-3C4E-46C1-A173-6C390455E8E3}" srcOrd="3" destOrd="0" presId="urn:microsoft.com/office/officeart/2005/8/layout/orgChart1"/>
    <dgm:cxn modelId="{913C1FD6-BC5F-4B86-9617-B8F4F595132C}" type="presParOf" srcId="{B8B512AF-3C4E-46C1-A173-6C390455E8E3}" destId="{494CB64A-D10A-46A9-A87C-9ABB94C95A31}" srcOrd="0" destOrd="0" presId="urn:microsoft.com/office/officeart/2005/8/layout/orgChart1"/>
    <dgm:cxn modelId="{4191444E-3A87-4E79-B150-667B5F172EF9}" type="presParOf" srcId="{494CB64A-D10A-46A9-A87C-9ABB94C95A31}" destId="{025FA375-B041-4AED-A61A-C166E6DD1D7F}" srcOrd="0" destOrd="0" presId="urn:microsoft.com/office/officeart/2005/8/layout/orgChart1"/>
    <dgm:cxn modelId="{668F9DAB-3CA0-45E0-BF2B-8D99BD2852A4}" type="presParOf" srcId="{494CB64A-D10A-46A9-A87C-9ABB94C95A31}" destId="{900016EA-0144-4B43-BE76-C25D5D5983E0}" srcOrd="1" destOrd="0" presId="urn:microsoft.com/office/officeart/2005/8/layout/orgChart1"/>
    <dgm:cxn modelId="{37BEB88C-C703-42FD-9856-76200B38470C}" type="presParOf" srcId="{B8B512AF-3C4E-46C1-A173-6C390455E8E3}" destId="{67668589-9F95-4B75-838A-223DAB7FBDB4}" srcOrd="1" destOrd="0" presId="urn:microsoft.com/office/officeart/2005/8/layout/orgChart1"/>
    <dgm:cxn modelId="{EE6CAAFB-8594-402C-A662-901A3AC8C53D}" type="presParOf" srcId="{B8B512AF-3C4E-46C1-A173-6C390455E8E3}" destId="{14AE6041-EA60-447D-A7C6-F8DE22CA74B1}" srcOrd="2" destOrd="0" presId="urn:microsoft.com/office/officeart/2005/8/layout/orgChart1"/>
    <dgm:cxn modelId="{85900701-3495-412D-8ADC-D0151C69937A}" type="presParOf" srcId="{14AE6041-EA60-447D-A7C6-F8DE22CA74B1}" destId="{32A7DEE1-46C1-4C98-824E-B761B023C4EF}" srcOrd="0" destOrd="0" presId="urn:microsoft.com/office/officeart/2005/8/layout/orgChart1"/>
    <dgm:cxn modelId="{284A4012-4314-4D35-BA27-8CD6B73DCDBC}" type="presParOf" srcId="{14AE6041-EA60-447D-A7C6-F8DE22CA74B1}" destId="{C3222BC3-DD58-4EAF-BD21-CAFFEE492EA3}" srcOrd="1" destOrd="0" presId="urn:microsoft.com/office/officeart/2005/8/layout/orgChart1"/>
    <dgm:cxn modelId="{BE59B2C0-DD11-42EE-B36F-B0B1A9603E49}" type="presParOf" srcId="{C3222BC3-DD58-4EAF-BD21-CAFFEE492EA3}" destId="{DDE4E895-DB86-41BE-8112-D106C74EAE4F}" srcOrd="0" destOrd="0" presId="urn:microsoft.com/office/officeart/2005/8/layout/orgChart1"/>
    <dgm:cxn modelId="{D3337031-D4DC-4028-8A46-95CBBEA0B328}" type="presParOf" srcId="{DDE4E895-DB86-41BE-8112-D106C74EAE4F}" destId="{CB07F995-F8B1-4671-B289-54C3B63D028A}" srcOrd="0" destOrd="0" presId="urn:microsoft.com/office/officeart/2005/8/layout/orgChart1"/>
    <dgm:cxn modelId="{A6CEC31A-D66A-4C63-8D27-BF8EACFA7926}" type="presParOf" srcId="{DDE4E895-DB86-41BE-8112-D106C74EAE4F}" destId="{623CA0F5-C272-4B72-ABEE-B7223782C194}" srcOrd="1" destOrd="0" presId="urn:microsoft.com/office/officeart/2005/8/layout/orgChart1"/>
    <dgm:cxn modelId="{C2D945E3-B1F2-456D-9CE9-9A00105128DF}" type="presParOf" srcId="{C3222BC3-DD58-4EAF-BD21-CAFFEE492EA3}" destId="{1BFCFA0D-9EF4-40E3-B911-86257FC55B17}" srcOrd="1" destOrd="0" presId="urn:microsoft.com/office/officeart/2005/8/layout/orgChart1"/>
    <dgm:cxn modelId="{387F69C4-7617-4608-994E-81031ED7F920}" type="presParOf" srcId="{C3222BC3-DD58-4EAF-BD21-CAFFEE492EA3}" destId="{84EDE6D8-A49A-4B54-8280-730B6A0BB1DD}" srcOrd="2" destOrd="0" presId="urn:microsoft.com/office/officeart/2005/8/layout/orgChart1"/>
    <dgm:cxn modelId="{AE6C3E3D-C432-486E-9BD8-0610066D95AE}" type="presParOf" srcId="{84EDE6D8-A49A-4B54-8280-730B6A0BB1DD}" destId="{93752990-47C7-4C63-8BA5-1C69E7F5821A}" srcOrd="0" destOrd="0" presId="urn:microsoft.com/office/officeart/2005/8/layout/orgChart1"/>
    <dgm:cxn modelId="{3179DF53-FAB4-4202-840F-D3F49D760F73}" type="presParOf" srcId="{84EDE6D8-A49A-4B54-8280-730B6A0BB1DD}" destId="{29DCF584-2463-44A2-B347-46AB2F96814A}" srcOrd="1" destOrd="0" presId="urn:microsoft.com/office/officeart/2005/8/layout/orgChart1"/>
    <dgm:cxn modelId="{E1EF62B3-7CF2-46BF-A0DB-0A9C2C14F0ED}" type="presParOf" srcId="{29DCF584-2463-44A2-B347-46AB2F96814A}" destId="{D30E0CCF-6D6A-47E7-814C-6870CE112E1B}" srcOrd="0" destOrd="0" presId="urn:microsoft.com/office/officeart/2005/8/layout/orgChart1"/>
    <dgm:cxn modelId="{8B193E1F-C913-4554-AFA3-07D7041E724F}" type="presParOf" srcId="{D30E0CCF-6D6A-47E7-814C-6870CE112E1B}" destId="{6107919A-8100-4DAA-AFB3-032367F5622F}" srcOrd="0" destOrd="0" presId="urn:microsoft.com/office/officeart/2005/8/layout/orgChart1"/>
    <dgm:cxn modelId="{4FD2DB34-E6EC-4316-B057-F6E827998511}" type="presParOf" srcId="{D30E0CCF-6D6A-47E7-814C-6870CE112E1B}" destId="{8F1FFB0A-A0CB-4DC2-8A7A-FD3D814A4BE8}" srcOrd="1" destOrd="0" presId="urn:microsoft.com/office/officeart/2005/8/layout/orgChart1"/>
    <dgm:cxn modelId="{560109FF-2668-4F06-988B-625A587C5593}" type="presParOf" srcId="{29DCF584-2463-44A2-B347-46AB2F96814A}" destId="{245D1A9F-43B4-41A4-9190-FC46DD9F67F9}" srcOrd="1" destOrd="0" presId="urn:microsoft.com/office/officeart/2005/8/layout/orgChart1"/>
    <dgm:cxn modelId="{53B9F4DD-FC62-4C3A-80FB-34BE54A01D62}" type="presParOf" srcId="{29DCF584-2463-44A2-B347-46AB2F96814A}" destId="{3D1358A9-450B-4153-A8A4-6A67EB67F9AA}" srcOrd="2" destOrd="0" presId="urn:microsoft.com/office/officeart/2005/8/layout/orgChart1"/>
    <dgm:cxn modelId="{C39F187B-DB6D-4D22-9DA3-903E742F5253}" type="presParOf" srcId="{84EDE6D8-A49A-4B54-8280-730B6A0BB1DD}" destId="{94D59F56-F6C7-41B7-8214-5C5044F4F916}" srcOrd="2" destOrd="0" presId="urn:microsoft.com/office/officeart/2005/8/layout/orgChart1"/>
    <dgm:cxn modelId="{A6AF40C6-B4AD-4D4F-B736-CDF05D9AB32E}" type="presParOf" srcId="{84EDE6D8-A49A-4B54-8280-730B6A0BB1DD}" destId="{A1ECF9C1-F8FD-4AFD-A21B-215805E12211}" srcOrd="3" destOrd="0" presId="urn:microsoft.com/office/officeart/2005/8/layout/orgChart1"/>
    <dgm:cxn modelId="{9C5C77D0-4E52-421A-96D3-D01735CE192D}" type="presParOf" srcId="{A1ECF9C1-F8FD-4AFD-A21B-215805E12211}" destId="{65AB0F2D-EA6F-42AC-81AE-731FBF23AAB8}" srcOrd="0" destOrd="0" presId="urn:microsoft.com/office/officeart/2005/8/layout/orgChart1"/>
    <dgm:cxn modelId="{21290B21-8C22-4967-A9F7-05BD0A7277B9}" type="presParOf" srcId="{65AB0F2D-EA6F-42AC-81AE-731FBF23AAB8}" destId="{69CE16EC-8896-47A8-AB40-B3DDB86D9F03}" srcOrd="0" destOrd="0" presId="urn:microsoft.com/office/officeart/2005/8/layout/orgChart1"/>
    <dgm:cxn modelId="{FE6AEE98-8E4E-4852-912E-7AE4C7640E46}" type="presParOf" srcId="{65AB0F2D-EA6F-42AC-81AE-731FBF23AAB8}" destId="{132E3C14-8D28-4208-A130-D3C603B6E140}" srcOrd="1" destOrd="0" presId="urn:microsoft.com/office/officeart/2005/8/layout/orgChart1"/>
    <dgm:cxn modelId="{CFF8C1B1-DAB0-4A26-97C1-173797183A9E}" type="presParOf" srcId="{A1ECF9C1-F8FD-4AFD-A21B-215805E12211}" destId="{8D026E1B-BDF1-44D9-950B-05168E4E553E}" srcOrd="1" destOrd="0" presId="urn:microsoft.com/office/officeart/2005/8/layout/orgChart1"/>
    <dgm:cxn modelId="{8E75BC3B-CFF8-41BC-9F00-14B955D2E8FE}" type="presParOf" srcId="{A1ECF9C1-F8FD-4AFD-A21B-215805E12211}" destId="{56F3F18D-B44A-44B1-ADEF-261F2ACF9D44}" srcOrd="2" destOrd="0" presId="urn:microsoft.com/office/officeart/2005/8/layout/orgChart1"/>
    <dgm:cxn modelId="{656FDB2C-C9A2-4FF9-B162-35A05455769B}" type="presParOf" srcId="{84EDE6D8-A49A-4B54-8280-730B6A0BB1DD}" destId="{5C27D178-A63A-4E24-B490-E79A2F631056}" srcOrd="4" destOrd="0" presId="urn:microsoft.com/office/officeart/2005/8/layout/orgChart1"/>
    <dgm:cxn modelId="{DA83C829-BD76-4122-8302-86CFFFFF54D9}" type="presParOf" srcId="{84EDE6D8-A49A-4B54-8280-730B6A0BB1DD}" destId="{C619C32C-3E07-4C91-9B1C-7512EB50411A}" srcOrd="5" destOrd="0" presId="urn:microsoft.com/office/officeart/2005/8/layout/orgChart1"/>
    <dgm:cxn modelId="{C19B376A-A757-4AF9-A7CC-3FBE4A954D29}" type="presParOf" srcId="{C619C32C-3E07-4C91-9B1C-7512EB50411A}" destId="{40A006B4-9A66-4861-88D1-67CB2F8562E8}" srcOrd="0" destOrd="0" presId="urn:microsoft.com/office/officeart/2005/8/layout/orgChart1"/>
    <dgm:cxn modelId="{6869C556-B75E-45B2-B5A1-4698924E6DD6}" type="presParOf" srcId="{40A006B4-9A66-4861-88D1-67CB2F8562E8}" destId="{20BCC644-167B-4747-B275-E611ADB7B740}" srcOrd="0" destOrd="0" presId="urn:microsoft.com/office/officeart/2005/8/layout/orgChart1"/>
    <dgm:cxn modelId="{1D7CCD58-E980-4FC6-A0FB-9BC815815A08}" type="presParOf" srcId="{40A006B4-9A66-4861-88D1-67CB2F8562E8}" destId="{EBB52A5A-D728-4446-B3F5-1439D10DF557}" srcOrd="1" destOrd="0" presId="urn:microsoft.com/office/officeart/2005/8/layout/orgChart1"/>
    <dgm:cxn modelId="{CEC8B943-272B-4602-A719-834ECE5C7F48}" type="presParOf" srcId="{C619C32C-3E07-4C91-9B1C-7512EB50411A}" destId="{7B8363C4-0036-4742-ABD9-251548E42031}" srcOrd="1" destOrd="0" presId="urn:microsoft.com/office/officeart/2005/8/layout/orgChart1"/>
    <dgm:cxn modelId="{BB7DAF2B-7633-45D7-BF23-2B3235A7CD68}" type="presParOf" srcId="{C619C32C-3E07-4C91-9B1C-7512EB50411A}" destId="{EC9E8287-6919-4DB0-9352-19CF46AFE11F}" srcOrd="2" destOrd="0" presId="urn:microsoft.com/office/officeart/2005/8/layout/orgChart1"/>
    <dgm:cxn modelId="{106DA5E4-02AF-46CD-AE20-C54030358ACB}" type="presParOf" srcId="{84EDE6D8-A49A-4B54-8280-730B6A0BB1DD}" destId="{94BD7E82-9F96-480D-BF25-E80C18A3ABCC}" srcOrd="6" destOrd="0" presId="urn:microsoft.com/office/officeart/2005/8/layout/orgChart1"/>
    <dgm:cxn modelId="{4577FC32-7AC7-4571-A7BC-597610E57B83}" type="presParOf" srcId="{84EDE6D8-A49A-4B54-8280-730B6A0BB1DD}" destId="{0EEA9C4B-7C6F-4DCB-937F-DC7B3404BF0B}" srcOrd="7" destOrd="0" presId="urn:microsoft.com/office/officeart/2005/8/layout/orgChart1"/>
    <dgm:cxn modelId="{00D884E2-2128-4084-A2C7-35EAD2EAD095}" type="presParOf" srcId="{0EEA9C4B-7C6F-4DCB-937F-DC7B3404BF0B}" destId="{D1B75A0E-C5BC-40F9-80CC-A57DF67C5C93}" srcOrd="0" destOrd="0" presId="urn:microsoft.com/office/officeart/2005/8/layout/orgChart1"/>
    <dgm:cxn modelId="{713585C1-B81F-4A18-B5FA-AC1E06EC73A1}" type="presParOf" srcId="{D1B75A0E-C5BC-40F9-80CC-A57DF67C5C93}" destId="{82F7E914-7B66-4772-80C5-FC33645EB2DB}" srcOrd="0" destOrd="0" presId="urn:microsoft.com/office/officeart/2005/8/layout/orgChart1"/>
    <dgm:cxn modelId="{04B6E09E-C1FE-43C2-AC3B-4559BDDF7B8B}" type="presParOf" srcId="{D1B75A0E-C5BC-40F9-80CC-A57DF67C5C93}" destId="{C691F20A-2FEA-46EA-A9AA-C89A0945BDC3}" srcOrd="1" destOrd="0" presId="urn:microsoft.com/office/officeart/2005/8/layout/orgChart1"/>
    <dgm:cxn modelId="{42DD2E1B-1EDB-4C03-A5D8-2AC11DABB02B}" type="presParOf" srcId="{0EEA9C4B-7C6F-4DCB-937F-DC7B3404BF0B}" destId="{D8F79FEA-8F4D-439C-BA75-C14D05E0BF04}" srcOrd="1" destOrd="0" presId="urn:microsoft.com/office/officeart/2005/8/layout/orgChart1"/>
    <dgm:cxn modelId="{0FCD954D-F1AA-4228-9C1C-ADFBB0E022E1}" type="presParOf" srcId="{0EEA9C4B-7C6F-4DCB-937F-DC7B3404BF0B}" destId="{31CA1B17-2A4C-4CB7-A81D-18B2DFEB4EE4}" srcOrd="2" destOrd="0" presId="urn:microsoft.com/office/officeart/2005/8/layout/orgChart1"/>
    <dgm:cxn modelId="{C863D6BB-4062-4DE7-912A-33A0E44A9AD3}" type="presParOf" srcId="{31CA1B17-2A4C-4CB7-A81D-18B2DFEB4EE4}" destId="{96325B5F-A91F-4B78-83F6-68B35E247A6A}" srcOrd="0" destOrd="0" presId="urn:microsoft.com/office/officeart/2005/8/layout/orgChart1"/>
    <dgm:cxn modelId="{05CE594E-6A68-4CA3-BD15-5B3EA347B693}" type="presParOf" srcId="{31CA1B17-2A4C-4CB7-A81D-18B2DFEB4EE4}" destId="{36251FD5-8D28-49B7-ABF3-B8ABAAD26F52}" srcOrd="1" destOrd="0" presId="urn:microsoft.com/office/officeart/2005/8/layout/orgChart1"/>
    <dgm:cxn modelId="{9331139F-3BAE-49BD-AD2D-6B191660ED89}" type="presParOf" srcId="{36251FD5-8D28-49B7-ABF3-B8ABAAD26F52}" destId="{BF82EBAD-4129-478F-8968-32D123D8482B}" srcOrd="0" destOrd="0" presId="urn:microsoft.com/office/officeart/2005/8/layout/orgChart1"/>
    <dgm:cxn modelId="{CB5E9D4D-06A5-4DC2-95D4-1FF68D69660E}" type="presParOf" srcId="{BF82EBAD-4129-478F-8968-32D123D8482B}" destId="{809A3BC2-E954-45CE-8902-E67F964F0EA9}" srcOrd="0" destOrd="0" presId="urn:microsoft.com/office/officeart/2005/8/layout/orgChart1"/>
    <dgm:cxn modelId="{55E1BA02-98D6-4A76-8409-DED6210FA733}" type="presParOf" srcId="{BF82EBAD-4129-478F-8968-32D123D8482B}" destId="{B069BB21-9F76-4481-B55B-FE63F795F87E}" srcOrd="1" destOrd="0" presId="urn:microsoft.com/office/officeart/2005/8/layout/orgChart1"/>
    <dgm:cxn modelId="{CEC04B99-B87C-44FB-8243-49C757753F1A}" type="presParOf" srcId="{36251FD5-8D28-49B7-ABF3-B8ABAAD26F52}" destId="{D37DBF11-5AF5-4667-A6CC-31E88D76C730}" srcOrd="1" destOrd="0" presId="urn:microsoft.com/office/officeart/2005/8/layout/orgChart1"/>
    <dgm:cxn modelId="{3578F464-4D7A-44B7-8BEC-ED1E1C267E2F}" type="presParOf" srcId="{36251FD5-8D28-49B7-ABF3-B8ABAAD26F52}" destId="{E3C02043-5861-4EC0-B1BD-EC27B2EB9489}" srcOrd="2" destOrd="0" presId="urn:microsoft.com/office/officeart/2005/8/layout/orgChart1"/>
    <dgm:cxn modelId="{D6CFCFBD-9AE4-4A24-8272-0842DB3DE004}" type="presParOf" srcId="{E3C02043-5861-4EC0-B1BD-EC27B2EB9489}" destId="{6C9353EB-805B-442D-91AF-72DBD97C1BD7}" srcOrd="0" destOrd="0" presId="urn:microsoft.com/office/officeart/2005/8/layout/orgChart1"/>
    <dgm:cxn modelId="{4375AE66-F082-4DEF-A823-93DF69F09738}" type="presParOf" srcId="{E3C02043-5861-4EC0-B1BD-EC27B2EB9489}" destId="{0F8521B7-8BF6-4562-8A1C-62212BCE04C5}" srcOrd="1" destOrd="0" presId="urn:microsoft.com/office/officeart/2005/8/layout/orgChart1"/>
    <dgm:cxn modelId="{7B6AB837-FD9A-4FEA-801E-575384505339}" type="presParOf" srcId="{0F8521B7-8BF6-4562-8A1C-62212BCE04C5}" destId="{26B92E3F-8051-406C-A579-7B37ED90A810}" srcOrd="0" destOrd="0" presId="urn:microsoft.com/office/officeart/2005/8/layout/orgChart1"/>
    <dgm:cxn modelId="{40322A0A-3DF4-4A5A-B94F-7F27A8285DBE}" type="presParOf" srcId="{26B92E3F-8051-406C-A579-7B37ED90A810}" destId="{FA813941-086E-45C8-BDA3-C805F77C04EA}" srcOrd="0" destOrd="0" presId="urn:microsoft.com/office/officeart/2005/8/layout/orgChart1"/>
    <dgm:cxn modelId="{AC8FF513-221D-4571-B2DD-C356C4DB8960}" type="presParOf" srcId="{26B92E3F-8051-406C-A579-7B37ED90A810}" destId="{609B2F67-E5C1-49A3-B2A4-1CF9E5154E6A}" srcOrd="1" destOrd="0" presId="urn:microsoft.com/office/officeart/2005/8/layout/orgChart1"/>
    <dgm:cxn modelId="{D6450ADA-158A-41B9-94CB-6D7FBA7E00E3}" type="presParOf" srcId="{0F8521B7-8BF6-4562-8A1C-62212BCE04C5}" destId="{E4FDB59F-4E39-436D-990A-2EE98A591214}" srcOrd="1" destOrd="0" presId="urn:microsoft.com/office/officeart/2005/8/layout/orgChart1"/>
    <dgm:cxn modelId="{67FC620B-0BF9-4023-A64B-B2F19F1C61EA}" type="presParOf" srcId="{0F8521B7-8BF6-4562-8A1C-62212BCE04C5}" destId="{B06E5EBD-8821-4B4E-8EBB-F37167177D55}" srcOrd="2" destOrd="0" presId="urn:microsoft.com/office/officeart/2005/8/layout/orgChart1"/>
    <dgm:cxn modelId="{2E51FA10-42C4-4B10-BEB8-9C37FCBE6B55}" type="presParOf" srcId="{E3C02043-5861-4EC0-B1BD-EC27B2EB9489}" destId="{BFAC3BAC-3696-4BA0-A877-29A97AF2CC5F}" srcOrd="2" destOrd="0" presId="urn:microsoft.com/office/officeart/2005/8/layout/orgChart1"/>
    <dgm:cxn modelId="{6D7FE594-8CFA-4F2E-B2A6-DD8781AF0C36}" type="presParOf" srcId="{E3C02043-5861-4EC0-B1BD-EC27B2EB9489}" destId="{6A6DBEA8-7F6E-4C14-AE9F-F9051816F16F}" srcOrd="3" destOrd="0" presId="urn:microsoft.com/office/officeart/2005/8/layout/orgChart1"/>
    <dgm:cxn modelId="{8A582E2E-56F8-4E4E-950F-FFA517185704}" type="presParOf" srcId="{6A6DBEA8-7F6E-4C14-AE9F-F9051816F16F}" destId="{D5F79D06-74EA-4555-B3BD-439CB47228E3}" srcOrd="0" destOrd="0" presId="urn:microsoft.com/office/officeart/2005/8/layout/orgChart1"/>
    <dgm:cxn modelId="{CBFE5019-508E-4406-8545-E0B5EB13B818}" type="presParOf" srcId="{D5F79D06-74EA-4555-B3BD-439CB47228E3}" destId="{577107F5-1B5A-413F-AD08-29E0222300F8}" srcOrd="0" destOrd="0" presId="urn:microsoft.com/office/officeart/2005/8/layout/orgChart1"/>
    <dgm:cxn modelId="{50D1E8DB-3C52-42A4-AA02-408323AA77C5}" type="presParOf" srcId="{D5F79D06-74EA-4555-B3BD-439CB47228E3}" destId="{2ABBE4DC-18FF-4AF2-9D45-5202F0A9DE31}" srcOrd="1" destOrd="0" presId="urn:microsoft.com/office/officeart/2005/8/layout/orgChart1"/>
    <dgm:cxn modelId="{DC25EEAF-B0DF-4937-A64D-A83EBB827660}" type="presParOf" srcId="{6A6DBEA8-7F6E-4C14-AE9F-F9051816F16F}" destId="{65DA8E59-B8D6-4DE5-8EBC-76A29783B68C}" srcOrd="1" destOrd="0" presId="urn:microsoft.com/office/officeart/2005/8/layout/orgChart1"/>
    <dgm:cxn modelId="{9FBE26BB-E4F3-4EE4-AD3E-4555DADD65A4}" type="presParOf" srcId="{6A6DBEA8-7F6E-4C14-AE9F-F9051816F16F}" destId="{962A2CDF-F1B2-47A1-AB11-64AB7A2DF003}" srcOrd="2" destOrd="0" presId="urn:microsoft.com/office/officeart/2005/8/layout/orgChart1"/>
    <dgm:cxn modelId="{E56D84EF-E86F-4B1C-BD33-7C1C7A034859}" type="presParOf" srcId="{E3C02043-5861-4EC0-B1BD-EC27B2EB9489}" destId="{3D71D841-712F-4D76-89F3-0DB7A1D26C62}" srcOrd="4" destOrd="0" presId="urn:microsoft.com/office/officeart/2005/8/layout/orgChart1"/>
    <dgm:cxn modelId="{B7D3470C-9BC5-4A44-8DD4-6E3B7C46D2EB}" type="presParOf" srcId="{E3C02043-5861-4EC0-B1BD-EC27B2EB9489}" destId="{AE12886A-ACF6-419F-A7E1-C3FAB4F80506}" srcOrd="5" destOrd="0" presId="urn:microsoft.com/office/officeart/2005/8/layout/orgChart1"/>
    <dgm:cxn modelId="{9531FB70-3523-4520-A339-DB6997E4FF46}" type="presParOf" srcId="{AE12886A-ACF6-419F-A7E1-C3FAB4F80506}" destId="{9D147B8F-CE18-4FB5-9504-303CBA2B1C00}" srcOrd="0" destOrd="0" presId="urn:microsoft.com/office/officeart/2005/8/layout/orgChart1"/>
    <dgm:cxn modelId="{A8204C4B-F520-45A6-AEEC-CC1580868C08}" type="presParOf" srcId="{9D147B8F-CE18-4FB5-9504-303CBA2B1C00}" destId="{72D0C764-7266-4F7A-852C-E14081109DAB}" srcOrd="0" destOrd="0" presId="urn:microsoft.com/office/officeart/2005/8/layout/orgChart1"/>
    <dgm:cxn modelId="{C9474366-94D9-456C-A832-F7C8A7EBA857}" type="presParOf" srcId="{9D147B8F-CE18-4FB5-9504-303CBA2B1C00}" destId="{63432DA4-4F80-42E6-8F19-48194E307AE8}" srcOrd="1" destOrd="0" presId="urn:microsoft.com/office/officeart/2005/8/layout/orgChart1"/>
    <dgm:cxn modelId="{CE14A0B6-18D4-4757-9B4D-6BF8381D6C62}" type="presParOf" srcId="{AE12886A-ACF6-419F-A7E1-C3FAB4F80506}" destId="{3C5EDBE8-D688-4720-8D5B-D91468CC3B43}" srcOrd="1" destOrd="0" presId="urn:microsoft.com/office/officeart/2005/8/layout/orgChart1"/>
    <dgm:cxn modelId="{4C9F9898-8F93-4F01-9528-24EF1540151D}" type="presParOf" srcId="{AE12886A-ACF6-419F-A7E1-C3FAB4F80506}" destId="{74BE7A73-A0FE-48C0-8AFE-B21DA5AF2E0D}" srcOrd="2" destOrd="0" presId="urn:microsoft.com/office/officeart/2005/8/layout/orgChart1"/>
    <dgm:cxn modelId="{9161A381-1663-49E6-ACB7-0010F96305B0}" type="presParOf" srcId="{E3C02043-5861-4EC0-B1BD-EC27B2EB9489}" destId="{76D7FB3D-ED2C-49A0-9E53-D30377B734F8}" srcOrd="6" destOrd="0" presId="urn:microsoft.com/office/officeart/2005/8/layout/orgChart1"/>
    <dgm:cxn modelId="{3FE94AB6-E98C-4176-AF04-A73B1FB785C0}" type="presParOf" srcId="{E3C02043-5861-4EC0-B1BD-EC27B2EB9489}" destId="{9D14125E-557D-48D9-88DE-12A99743CBC3}" srcOrd="7" destOrd="0" presId="urn:microsoft.com/office/officeart/2005/8/layout/orgChart1"/>
    <dgm:cxn modelId="{05D5CAF2-E37E-4569-8640-6C6E01A042A1}" type="presParOf" srcId="{9D14125E-557D-48D9-88DE-12A99743CBC3}" destId="{A07B970D-2476-4C43-817A-262C147F693C}" srcOrd="0" destOrd="0" presId="urn:microsoft.com/office/officeart/2005/8/layout/orgChart1"/>
    <dgm:cxn modelId="{69624840-2720-4F46-960D-F685B7D07CDD}" type="presParOf" srcId="{A07B970D-2476-4C43-817A-262C147F693C}" destId="{FF195630-AB66-4658-A4DC-FCC1F9C911F0}" srcOrd="0" destOrd="0" presId="urn:microsoft.com/office/officeart/2005/8/layout/orgChart1"/>
    <dgm:cxn modelId="{95B62B03-3569-4A24-A25A-17AF0956DB9C}" type="presParOf" srcId="{A07B970D-2476-4C43-817A-262C147F693C}" destId="{A0E0C018-87ED-4AA5-88F0-460A59AB9FF9}" srcOrd="1" destOrd="0" presId="urn:microsoft.com/office/officeart/2005/8/layout/orgChart1"/>
    <dgm:cxn modelId="{B6A84960-3823-4467-8E96-4337BED24A1C}" type="presParOf" srcId="{9D14125E-557D-48D9-88DE-12A99743CBC3}" destId="{331FCD5A-1290-4294-B340-7423B5D88C8F}" srcOrd="1" destOrd="0" presId="urn:microsoft.com/office/officeart/2005/8/layout/orgChart1"/>
    <dgm:cxn modelId="{76A8B513-8923-4354-9634-B8F554DA5028}" type="presParOf" srcId="{9D14125E-557D-48D9-88DE-12A99743CBC3}" destId="{CBC52FFA-F02D-4346-92BE-0F565C6F86B1}" srcOrd="2" destOrd="0" presId="urn:microsoft.com/office/officeart/2005/8/layout/orgChart1"/>
    <dgm:cxn modelId="{6879A518-FD45-4DBA-A4C9-048845B58CDA}" type="presParOf" srcId="{E3C02043-5861-4EC0-B1BD-EC27B2EB9489}" destId="{54344BF7-E9DC-4C6B-8742-C1203F77DADC}" srcOrd="8" destOrd="0" presId="urn:microsoft.com/office/officeart/2005/8/layout/orgChart1"/>
    <dgm:cxn modelId="{6273F781-C4DD-44E0-B4F5-3BB68B2824CA}" type="presParOf" srcId="{E3C02043-5861-4EC0-B1BD-EC27B2EB9489}" destId="{C6993ED5-7723-48FE-8AF6-308683D14006}" srcOrd="9" destOrd="0" presId="urn:microsoft.com/office/officeart/2005/8/layout/orgChart1"/>
    <dgm:cxn modelId="{DFC8CBC2-4A02-4F0C-B619-FB2834437664}" type="presParOf" srcId="{C6993ED5-7723-48FE-8AF6-308683D14006}" destId="{5227ACA8-E4B3-4DCA-8984-256D9DB6CA57}" srcOrd="0" destOrd="0" presId="urn:microsoft.com/office/officeart/2005/8/layout/orgChart1"/>
    <dgm:cxn modelId="{F19758DD-1E17-4329-B857-83602E3E0FCB}" type="presParOf" srcId="{5227ACA8-E4B3-4DCA-8984-256D9DB6CA57}" destId="{5CC2977C-E0B9-45DA-8467-2E2134C30FF7}" srcOrd="0" destOrd="0" presId="urn:microsoft.com/office/officeart/2005/8/layout/orgChart1"/>
    <dgm:cxn modelId="{54753CE6-1D0D-4C2F-812C-9C741EE86E6E}" type="presParOf" srcId="{5227ACA8-E4B3-4DCA-8984-256D9DB6CA57}" destId="{C022E808-6F97-4B49-8F24-69F1D40597CF}" srcOrd="1" destOrd="0" presId="urn:microsoft.com/office/officeart/2005/8/layout/orgChart1"/>
    <dgm:cxn modelId="{0422EAFB-7162-4ED7-A020-4A5A14C1B669}" type="presParOf" srcId="{C6993ED5-7723-48FE-8AF6-308683D14006}" destId="{7C21C82F-3095-4CE8-9603-D6DD7541C6C5}" srcOrd="1" destOrd="0" presId="urn:microsoft.com/office/officeart/2005/8/layout/orgChart1"/>
    <dgm:cxn modelId="{9BEE2EBE-6EFC-4837-8081-CE3CD311A9E6}" type="presParOf" srcId="{C6993ED5-7723-48FE-8AF6-308683D14006}" destId="{47DFA2A9-B9A9-4807-927C-77039C1F4E7E}" srcOrd="2" destOrd="0" presId="urn:microsoft.com/office/officeart/2005/8/layout/orgChart1"/>
    <dgm:cxn modelId="{141109EB-9A32-49FD-AFA4-8D76490F793D}" type="presParOf" srcId="{E3C02043-5861-4EC0-B1BD-EC27B2EB9489}" destId="{BEA14751-1ADD-4D02-87D7-2FFC8888D33C}" srcOrd="10" destOrd="0" presId="urn:microsoft.com/office/officeart/2005/8/layout/orgChart1"/>
    <dgm:cxn modelId="{E57AE0B7-BCDF-4FB8-989A-983DEA9904F2}" type="presParOf" srcId="{E3C02043-5861-4EC0-B1BD-EC27B2EB9489}" destId="{47CF3DC5-2619-4B66-BC12-CA91BF28AB88}" srcOrd="11" destOrd="0" presId="urn:microsoft.com/office/officeart/2005/8/layout/orgChart1"/>
    <dgm:cxn modelId="{FA7341D8-6EA8-4262-A3FB-BF5B90997DC0}" type="presParOf" srcId="{47CF3DC5-2619-4B66-BC12-CA91BF28AB88}" destId="{610E3879-0A44-4BBB-B26C-1BDDE470E55A}" srcOrd="0" destOrd="0" presId="urn:microsoft.com/office/officeart/2005/8/layout/orgChart1"/>
    <dgm:cxn modelId="{F7B2B374-F9C0-47FD-91FC-BA99F3F42105}" type="presParOf" srcId="{610E3879-0A44-4BBB-B26C-1BDDE470E55A}" destId="{42591F93-1699-46C3-8F3D-DFEF2D2A1DD4}" srcOrd="0" destOrd="0" presId="urn:microsoft.com/office/officeart/2005/8/layout/orgChart1"/>
    <dgm:cxn modelId="{6D6F085A-BA0F-47B5-A992-B7C86ED33C75}" type="presParOf" srcId="{610E3879-0A44-4BBB-B26C-1BDDE470E55A}" destId="{FA8B7401-6303-4DAD-86A2-B3F875CCBC68}" srcOrd="1" destOrd="0" presId="urn:microsoft.com/office/officeart/2005/8/layout/orgChart1"/>
    <dgm:cxn modelId="{7809267E-571F-4B3B-A608-B87C9B986688}" type="presParOf" srcId="{47CF3DC5-2619-4B66-BC12-CA91BF28AB88}" destId="{E0A36100-C8FC-4222-AD06-E3F46E8DCC92}" srcOrd="1" destOrd="0" presId="urn:microsoft.com/office/officeart/2005/8/layout/orgChart1"/>
    <dgm:cxn modelId="{9EEE9A60-2B1D-44A7-9E93-75731D6216FD}" type="presParOf" srcId="{47CF3DC5-2619-4B66-BC12-CA91BF28AB88}" destId="{C2E53BFC-5B87-4DFC-841A-966A0BCD701C}" srcOrd="2" destOrd="0" presId="urn:microsoft.com/office/officeart/2005/8/layout/orgChart1"/>
    <dgm:cxn modelId="{402EAC51-9FE1-4E13-8B71-78271D725CBD}" type="presParOf" srcId="{E3C02043-5861-4EC0-B1BD-EC27B2EB9489}" destId="{09483BB6-3096-43E2-925D-5544951B95F6}" srcOrd="12" destOrd="0" presId="urn:microsoft.com/office/officeart/2005/8/layout/orgChart1"/>
    <dgm:cxn modelId="{81570233-A30C-4DA7-A41F-525131CBD7A1}" type="presParOf" srcId="{E3C02043-5861-4EC0-B1BD-EC27B2EB9489}" destId="{DA82A02E-DFB4-4ABD-B4F2-2CBF646262F9}" srcOrd="13" destOrd="0" presId="urn:microsoft.com/office/officeart/2005/8/layout/orgChart1"/>
    <dgm:cxn modelId="{8548F268-A300-4752-A664-DB6640FC07B5}" type="presParOf" srcId="{DA82A02E-DFB4-4ABD-B4F2-2CBF646262F9}" destId="{0D972A0B-87F9-4FBE-8EFC-710F7805AAF5}" srcOrd="0" destOrd="0" presId="urn:microsoft.com/office/officeart/2005/8/layout/orgChart1"/>
    <dgm:cxn modelId="{577C66F8-134B-4BBE-A107-7A913DA26006}" type="presParOf" srcId="{0D972A0B-87F9-4FBE-8EFC-710F7805AAF5}" destId="{1E54B4CC-A68C-45BE-AD11-6AA516C3D92C}" srcOrd="0" destOrd="0" presId="urn:microsoft.com/office/officeart/2005/8/layout/orgChart1"/>
    <dgm:cxn modelId="{D24F7B65-3565-43FB-8CF1-8C85D1F23C81}" type="presParOf" srcId="{0D972A0B-87F9-4FBE-8EFC-710F7805AAF5}" destId="{DF46B9B1-EAF8-4DDB-8874-5B2BBCFE345E}" srcOrd="1" destOrd="0" presId="urn:microsoft.com/office/officeart/2005/8/layout/orgChart1"/>
    <dgm:cxn modelId="{3EDF72AC-17CD-4753-A6DC-48126CBB5145}" type="presParOf" srcId="{DA82A02E-DFB4-4ABD-B4F2-2CBF646262F9}" destId="{8186BDEB-4670-4977-BD41-C720C10D2807}" srcOrd="1" destOrd="0" presId="urn:microsoft.com/office/officeart/2005/8/layout/orgChart1"/>
    <dgm:cxn modelId="{DA9178AA-3BB3-4A13-948C-B67A719C6CE2}" type="presParOf" srcId="{DA82A02E-DFB4-4ABD-B4F2-2CBF646262F9}" destId="{83444892-A276-42CF-8970-D9C2AC54404C}" srcOrd="2" destOrd="0" presId="urn:microsoft.com/office/officeart/2005/8/layout/orgChart1"/>
    <dgm:cxn modelId="{D4DD589F-E5DA-49B9-B5EE-8B409CE36EF9}" type="presParOf" srcId="{E3C02043-5861-4EC0-B1BD-EC27B2EB9489}" destId="{9F3CFC88-E747-4218-8D7B-03BD7743712A}" srcOrd="14" destOrd="0" presId="urn:microsoft.com/office/officeart/2005/8/layout/orgChart1"/>
    <dgm:cxn modelId="{218FF9F5-C194-4458-B702-571F7D537BCB}" type="presParOf" srcId="{E3C02043-5861-4EC0-B1BD-EC27B2EB9489}" destId="{FA9AE82D-C63B-4EC9-9B20-C3439A193A6E}" srcOrd="15" destOrd="0" presId="urn:microsoft.com/office/officeart/2005/8/layout/orgChart1"/>
    <dgm:cxn modelId="{C9927EE2-8B88-4392-B414-C9EA75D41BBB}" type="presParOf" srcId="{FA9AE82D-C63B-4EC9-9B20-C3439A193A6E}" destId="{E3CBE65A-FAFE-49B8-92C8-C1FD4EDDE6B8}" srcOrd="0" destOrd="0" presId="urn:microsoft.com/office/officeart/2005/8/layout/orgChart1"/>
    <dgm:cxn modelId="{F8829A9B-0202-42A3-B343-316262CF0F81}" type="presParOf" srcId="{E3CBE65A-FAFE-49B8-92C8-C1FD4EDDE6B8}" destId="{28CEB212-7E77-435C-88DE-D634967D06FA}" srcOrd="0" destOrd="0" presId="urn:microsoft.com/office/officeart/2005/8/layout/orgChart1"/>
    <dgm:cxn modelId="{B3623186-54DF-4DDB-A1E1-13FE154C7F18}" type="presParOf" srcId="{E3CBE65A-FAFE-49B8-92C8-C1FD4EDDE6B8}" destId="{C8B88319-6A7D-46A8-ACAE-2F8B11360A94}" srcOrd="1" destOrd="0" presId="urn:microsoft.com/office/officeart/2005/8/layout/orgChart1"/>
    <dgm:cxn modelId="{724DFEF1-7A0F-4A1F-A0FD-40CB635DFD9A}" type="presParOf" srcId="{FA9AE82D-C63B-4EC9-9B20-C3439A193A6E}" destId="{CF3FD52E-D36C-4A18-B11F-6910BC2FC403}" srcOrd="1" destOrd="0" presId="urn:microsoft.com/office/officeart/2005/8/layout/orgChart1"/>
    <dgm:cxn modelId="{280F478E-90E4-46DE-83E1-CABA8EF6ED05}" type="presParOf" srcId="{FA9AE82D-C63B-4EC9-9B20-C3439A193A6E}" destId="{19F323A0-4236-4333-91C7-87D738696638}" srcOrd="2" destOrd="0" presId="urn:microsoft.com/office/officeart/2005/8/layout/orgChart1"/>
    <dgm:cxn modelId="{01874545-E3A0-464B-820F-B21B1C5EF693}" type="presParOf" srcId="{E3C02043-5861-4EC0-B1BD-EC27B2EB9489}" destId="{9D019E90-04F4-4D59-8870-10660B2E579F}" srcOrd="16" destOrd="0" presId="urn:microsoft.com/office/officeart/2005/8/layout/orgChart1"/>
    <dgm:cxn modelId="{4D3CE919-F277-42AC-903D-F5D535EFF27B}" type="presParOf" srcId="{E3C02043-5861-4EC0-B1BD-EC27B2EB9489}" destId="{C56B79AD-5486-4232-8CD1-9E6FA7810391}" srcOrd="17" destOrd="0" presId="urn:microsoft.com/office/officeart/2005/8/layout/orgChart1"/>
    <dgm:cxn modelId="{D06588F5-ED7A-49BD-8679-16E16960ED9E}" type="presParOf" srcId="{C56B79AD-5486-4232-8CD1-9E6FA7810391}" destId="{F98DAD5B-DF5D-4469-AF0C-85B5EE51E5B0}" srcOrd="0" destOrd="0" presId="urn:microsoft.com/office/officeart/2005/8/layout/orgChart1"/>
    <dgm:cxn modelId="{8D443E51-8256-4B4D-BE75-8B2C2220A678}" type="presParOf" srcId="{F98DAD5B-DF5D-4469-AF0C-85B5EE51E5B0}" destId="{FD33FE1A-0E52-4570-AEEE-358E062CB036}" srcOrd="0" destOrd="0" presId="urn:microsoft.com/office/officeart/2005/8/layout/orgChart1"/>
    <dgm:cxn modelId="{3562555A-BAD8-4D2F-A963-E34B38756E82}" type="presParOf" srcId="{F98DAD5B-DF5D-4469-AF0C-85B5EE51E5B0}" destId="{74CF39B5-FA89-4D06-A802-BBD6C523EF8B}" srcOrd="1" destOrd="0" presId="urn:microsoft.com/office/officeart/2005/8/layout/orgChart1"/>
    <dgm:cxn modelId="{43C653E7-67BD-4F1A-87B6-9226B39DA5B0}" type="presParOf" srcId="{C56B79AD-5486-4232-8CD1-9E6FA7810391}" destId="{21DAC9D9-3EB5-44A7-AA4D-DD6A568C19E4}" srcOrd="1" destOrd="0" presId="urn:microsoft.com/office/officeart/2005/8/layout/orgChart1"/>
    <dgm:cxn modelId="{A430F574-81F0-4FD1-A6C4-9C662CA4E64E}" type="presParOf" srcId="{C56B79AD-5486-4232-8CD1-9E6FA7810391}" destId="{CA77F77E-0FA8-4376-A27A-348CACBCF8D7}" srcOrd="2" destOrd="0" presId="urn:microsoft.com/office/officeart/2005/8/layout/orgChart1"/>
    <dgm:cxn modelId="{FA404F09-8D22-4C6C-983B-808678911E2B}" type="presParOf" srcId="{14AE6041-EA60-447D-A7C6-F8DE22CA74B1}" destId="{F8B1429D-602B-40B8-9F24-0D64113EBBC8}" srcOrd="2" destOrd="0" presId="urn:microsoft.com/office/officeart/2005/8/layout/orgChart1"/>
    <dgm:cxn modelId="{55EA6B27-CFFB-4472-8F3D-7FD7F026E57B}" type="presParOf" srcId="{14AE6041-EA60-447D-A7C6-F8DE22CA74B1}" destId="{85A264E5-7959-4BF0-B5E5-271273CF322B}" srcOrd="3" destOrd="0" presId="urn:microsoft.com/office/officeart/2005/8/layout/orgChart1"/>
    <dgm:cxn modelId="{29DDDF87-A3BF-49A7-B1D5-4C9B1C79F4C2}" type="presParOf" srcId="{85A264E5-7959-4BF0-B5E5-271273CF322B}" destId="{A70ED883-B608-4E4E-8BCA-A34E718CB92A}" srcOrd="0" destOrd="0" presId="urn:microsoft.com/office/officeart/2005/8/layout/orgChart1"/>
    <dgm:cxn modelId="{A52F43F8-41E7-4046-8E30-F69E3843EA32}" type="presParOf" srcId="{A70ED883-B608-4E4E-8BCA-A34E718CB92A}" destId="{5F3087FF-FB5D-427A-825B-EAB1353AC598}" srcOrd="0" destOrd="0" presId="urn:microsoft.com/office/officeart/2005/8/layout/orgChart1"/>
    <dgm:cxn modelId="{2E3D48A0-F240-4F6F-9299-C0ED5513FFE9}" type="presParOf" srcId="{A70ED883-B608-4E4E-8BCA-A34E718CB92A}" destId="{0ABCD882-6D4D-49F2-AAFF-83E667DF66ED}" srcOrd="1" destOrd="0" presId="urn:microsoft.com/office/officeart/2005/8/layout/orgChart1"/>
    <dgm:cxn modelId="{C328D099-5472-4F10-9898-CC69CB7C503B}" type="presParOf" srcId="{85A264E5-7959-4BF0-B5E5-271273CF322B}" destId="{B030CBDC-5176-40D2-8E2D-CE5CA20DD45B}" srcOrd="1" destOrd="0" presId="urn:microsoft.com/office/officeart/2005/8/layout/orgChart1"/>
    <dgm:cxn modelId="{928BAC76-0662-4670-AE87-EE469544843B}" type="presParOf" srcId="{85A264E5-7959-4BF0-B5E5-271273CF322B}" destId="{3467F48E-37BD-4B23-845B-ED0D7DD68D4E}" srcOrd="2" destOrd="0" presId="urn:microsoft.com/office/officeart/2005/8/layout/orgChart1"/>
    <dgm:cxn modelId="{C56D1D89-F1E0-4614-A781-9D004D5C87CB}" type="presParOf" srcId="{3467F48E-37BD-4B23-845B-ED0D7DD68D4E}" destId="{E24A72C0-E41A-4230-8D28-F4D79489BDD9}" srcOrd="0" destOrd="0" presId="urn:microsoft.com/office/officeart/2005/8/layout/orgChart1"/>
    <dgm:cxn modelId="{FF50966C-3445-4BCA-BB56-EA60E6FB7CB2}" type="presParOf" srcId="{3467F48E-37BD-4B23-845B-ED0D7DD68D4E}" destId="{7EE6C303-E9F4-4111-B2CC-4160ACD9129C}" srcOrd="1" destOrd="0" presId="urn:microsoft.com/office/officeart/2005/8/layout/orgChart1"/>
    <dgm:cxn modelId="{1A6DA7E1-2DC0-4AA1-8CF6-0218F24E9AE2}" type="presParOf" srcId="{7EE6C303-E9F4-4111-B2CC-4160ACD9129C}" destId="{2137466E-6C71-4AAA-8F4B-1818B0CFC9FE}" srcOrd="0" destOrd="0" presId="urn:microsoft.com/office/officeart/2005/8/layout/orgChart1"/>
    <dgm:cxn modelId="{2DA0D104-A5C7-4D8D-8058-28B00B500A28}" type="presParOf" srcId="{2137466E-6C71-4AAA-8F4B-1818B0CFC9FE}" destId="{09B062AE-8802-4DB3-B177-01911F4E5001}" srcOrd="0" destOrd="0" presId="urn:microsoft.com/office/officeart/2005/8/layout/orgChart1"/>
    <dgm:cxn modelId="{C8F7611E-D1EB-4BA3-AF03-D3BDF60FCE8F}" type="presParOf" srcId="{2137466E-6C71-4AAA-8F4B-1818B0CFC9FE}" destId="{F5534881-FB81-4D6B-BC1B-9B363246DBF9}" srcOrd="1" destOrd="0" presId="urn:microsoft.com/office/officeart/2005/8/layout/orgChart1"/>
    <dgm:cxn modelId="{5B8BBCAE-DAEC-4AE9-AA32-15C4990AEAC5}" type="presParOf" srcId="{7EE6C303-E9F4-4111-B2CC-4160ACD9129C}" destId="{1228D596-CEF6-4E7B-A75B-4EB6D37FFED5}" srcOrd="1" destOrd="0" presId="urn:microsoft.com/office/officeart/2005/8/layout/orgChart1"/>
    <dgm:cxn modelId="{C71B3CE7-4340-467A-8630-21D3160A87CF}" type="presParOf" srcId="{7EE6C303-E9F4-4111-B2CC-4160ACD9129C}" destId="{94077F23-31E5-4C05-BC86-096A826E6FAE}" srcOrd="2" destOrd="0" presId="urn:microsoft.com/office/officeart/2005/8/layout/orgChart1"/>
    <dgm:cxn modelId="{9A0C2CF3-ED62-436C-B121-DCECBF51E047}" type="presParOf" srcId="{94077F23-31E5-4C05-BC86-096A826E6FAE}" destId="{F5255AA6-56C8-4D50-A68F-85A765536CB2}" srcOrd="0" destOrd="0" presId="urn:microsoft.com/office/officeart/2005/8/layout/orgChart1"/>
    <dgm:cxn modelId="{66EF6189-D76E-4B4B-AA68-4D6B2011ECB9}" type="presParOf" srcId="{94077F23-31E5-4C05-BC86-096A826E6FAE}" destId="{169FB1B4-1124-42E9-8E92-94A0862430F1}" srcOrd="1" destOrd="0" presId="urn:microsoft.com/office/officeart/2005/8/layout/orgChart1"/>
    <dgm:cxn modelId="{3154800B-E65D-4684-807C-3F652199193F}" type="presParOf" srcId="{169FB1B4-1124-42E9-8E92-94A0862430F1}" destId="{42F6AE6F-E128-48E9-9BD8-FDC8CF532398}" srcOrd="0" destOrd="0" presId="urn:microsoft.com/office/officeart/2005/8/layout/orgChart1"/>
    <dgm:cxn modelId="{9452D240-4DB8-4B17-90A7-D979C16D8EF0}" type="presParOf" srcId="{42F6AE6F-E128-48E9-9BD8-FDC8CF532398}" destId="{F41015AD-F375-40A7-8094-DDA92C2189F5}" srcOrd="0" destOrd="0" presId="urn:microsoft.com/office/officeart/2005/8/layout/orgChart1"/>
    <dgm:cxn modelId="{524EB057-930B-4AA3-B7E2-ABBB4EC38D53}" type="presParOf" srcId="{42F6AE6F-E128-48E9-9BD8-FDC8CF532398}" destId="{FE023CC7-B8B5-4593-8284-3267E4FB062E}" srcOrd="1" destOrd="0" presId="urn:microsoft.com/office/officeart/2005/8/layout/orgChart1"/>
    <dgm:cxn modelId="{F4B37975-F481-4BCC-BF7E-E27523275E6D}" type="presParOf" srcId="{169FB1B4-1124-42E9-8E92-94A0862430F1}" destId="{F5C1A939-6B9B-40E1-B2C5-954A9A8F3CF4}" srcOrd="1" destOrd="0" presId="urn:microsoft.com/office/officeart/2005/8/layout/orgChart1"/>
    <dgm:cxn modelId="{9C31115D-D512-4A77-BAE5-873B879529D0}" type="presParOf" srcId="{169FB1B4-1124-42E9-8E92-94A0862430F1}" destId="{39D3AF2E-55C5-4B1C-A693-406B6F9F9FED}" srcOrd="2" destOrd="0" presId="urn:microsoft.com/office/officeart/2005/8/layout/orgChart1"/>
    <dgm:cxn modelId="{C5784641-02CA-4C6F-B947-4A6B0342BC33}" type="presParOf" srcId="{94077F23-31E5-4C05-BC86-096A826E6FAE}" destId="{18C3AB5E-E652-4404-9C9B-84011035CDAE}" srcOrd="2" destOrd="0" presId="urn:microsoft.com/office/officeart/2005/8/layout/orgChart1"/>
    <dgm:cxn modelId="{5C84642D-38DC-4EF0-B6DC-87EE7712FE31}" type="presParOf" srcId="{94077F23-31E5-4C05-BC86-096A826E6FAE}" destId="{550B80C8-98D0-4E52-BA70-07D757A8CE8F}" srcOrd="3" destOrd="0" presId="urn:microsoft.com/office/officeart/2005/8/layout/orgChart1"/>
    <dgm:cxn modelId="{2973C458-EC8B-40B5-A565-986328818F42}" type="presParOf" srcId="{550B80C8-98D0-4E52-BA70-07D757A8CE8F}" destId="{9C3FC490-498E-4BD9-A7CF-A2D13A464BEC}" srcOrd="0" destOrd="0" presId="urn:microsoft.com/office/officeart/2005/8/layout/orgChart1"/>
    <dgm:cxn modelId="{086EED5A-E656-4E05-970A-0CD2F6066459}" type="presParOf" srcId="{9C3FC490-498E-4BD9-A7CF-A2D13A464BEC}" destId="{3FAD70C9-FD65-465A-BBE6-D36F235A27B8}" srcOrd="0" destOrd="0" presId="urn:microsoft.com/office/officeart/2005/8/layout/orgChart1"/>
    <dgm:cxn modelId="{E3D3973C-2CB8-4D66-926C-93D98836B5C9}" type="presParOf" srcId="{9C3FC490-498E-4BD9-A7CF-A2D13A464BEC}" destId="{3B7567BB-5A51-401D-ADB8-D0CFC5EA9E57}" srcOrd="1" destOrd="0" presId="urn:microsoft.com/office/officeart/2005/8/layout/orgChart1"/>
    <dgm:cxn modelId="{5773EE01-B76A-4830-8B67-C70D17781391}" type="presParOf" srcId="{550B80C8-98D0-4E52-BA70-07D757A8CE8F}" destId="{800988D0-B554-4380-B0BB-1B0A91BFB84A}" srcOrd="1" destOrd="0" presId="urn:microsoft.com/office/officeart/2005/8/layout/orgChart1"/>
    <dgm:cxn modelId="{9C219C37-B5C6-4327-87A8-8E960596B061}" type="presParOf" srcId="{550B80C8-98D0-4E52-BA70-07D757A8CE8F}" destId="{118BBDEF-2B58-4E1E-972E-604D9BAD62FC}" srcOrd="2" destOrd="0" presId="urn:microsoft.com/office/officeart/2005/8/layout/orgChart1"/>
    <dgm:cxn modelId="{7A52CEB7-4CF2-4290-BED1-81C4C2EDFDA9}" type="presParOf" srcId="{94077F23-31E5-4C05-BC86-096A826E6FAE}" destId="{2234FF20-EFDB-4F37-979D-44D054A1E933}" srcOrd="4" destOrd="0" presId="urn:microsoft.com/office/officeart/2005/8/layout/orgChart1"/>
    <dgm:cxn modelId="{8CFB4758-C682-4F1A-8BB8-1F5377B8D9A0}" type="presParOf" srcId="{94077F23-31E5-4C05-BC86-096A826E6FAE}" destId="{0B511AD8-1E7E-4198-B5B2-73FCB0F53FA6}" srcOrd="5" destOrd="0" presId="urn:microsoft.com/office/officeart/2005/8/layout/orgChart1"/>
    <dgm:cxn modelId="{CF562F9C-DCC4-4BF5-BD1C-93F7D41FBA13}" type="presParOf" srcId="{0B511AD8-1E7E-4198-B5B2-73FCB0F53FA6}" destId="{E4FED4BA-E621-4CD2-AE93-65ACE40848E0}" srcOrd="0" destOrd="0" presId="urn:microsoft.com/office/officeart/2005/8/layout/orgChart1"/>
    <dgm:cxn modelId="{426F34EC-B6BA-4C2F-9879-9B3E65CACA50}" type="presParOf" srcId="{E4FED4BA-E621-4CD2-AE93-65ACE40848E0}" destId="{17A8ACAC-278D-4CC5-82B8-CEE2D922340F}" srcOrd="0" destOrd="0" presId="urn:microsoft.com/office/officeart/2005/8/layout/orgChart1"/>
    <dgm:cxn modelId="{CDB7ABFA-D589-4788-98B9-5D09222F4D1B}" type="presParOf" srcId="{E4FED4BA-E621-4CD2-AE93-65ACE40848E0}" destId="{DF2317F1-218F-471D-8148-06851530F0B9}" srcOrd="1" destOrd="0" presId="urn:microsoft.com/office/officeart/2005/8/layout/orgChart1"/>
    <dgm:cxn modelId="{AC58E4FA-6165-41BC-BBDB-AD8B99851924}" type="presParOf" srcId="{0B511AD8-1E7E-4198-B5B2-73FCB0F53FA6}" destId="{D16943B4-D5CA-445F-A583-9541E25740D4}" srcOrd="1" destOrd="0" presId="urn:microsoft.com/office/officeart/2005/8/layout/orgChart1"/>
    <dgm:cxn modelId="{8107FDCD-D1FD-4C4B-A605-8519049CFB54}" type="presParOf" srcId="{0B511AD8-1E7E-4198-B5B2-73FCB0F53FA6}" destId="{95C1DFAA-0AC6-4187-8722-724D12B6122E}" srcOrd="2" destOrd="0" presId="urn:microsoft.com/office/officeart/2005/8/layout/orgChart1"/>
    <dgm:cxn modelId="{73D52F88-4A7D-4F9F-B437-1891E6B2EF99}" type="presParOf" srcId="{94077F23-31E5-4C05-BC86-096A826E6FAE}" destId="{C6003688-8891-4E3A-B9CA-D58DDDC82F60}" srcOrd="6" destOrd="0" presId="urn:microsoft.com/office/officeart/2005/8/layout/orgChart1"/>
    <dgm:cxn modelId="{8F6800A0-3303-498F-A83C-8D15404DC16A}" type="presParOf" srcId="{94077F23-31E5-4C05-BC86-096A826E6FAE}" destId="{8B1E2EE4-B4B4-470B-9DFE-F4007702B3E5}" srcOrd="7" destOrd="0" presId="urn:microsoft.com/office/officeart/2005/8/layout/orgChart1"/>
    <dgm:cxn modelId="{742CE238-FAA4-465B-A22B-CF3296AA0E7F}" type="presParOf" srcId="{8B1E2EE4-B4B4-470B-9DFE-F4007702B3E5}" destId="{B98C5388-171F-4067-A576-EF60E256C4AF}" srcOrd="0" destOrd="0" presId="urn:microsoft.com/office/officeart/2005/8/layout/orgChart1"/>
    <dgm:cxn modelId="{3BCAD392-C96F-42B3-9927-2CA79F7B29E4}" type="presParOf" srcId="{B98C5388-171F-4067-A576-EF60E256C4AF}" destId="{718B6586-A71F-4B72-86B1-DBD8FE932DA2}" srcOrd="0" destOrd="0" presId="urn:microsoft.com/office/officeart/2005/8/layout/orgChart1"/>
    <dgm:cxn modelId="{89240594-2EB8-4B8C-A87A-163968C6CB68}" type="presParOf" srcId="{B98C5388-171F-4067-A576-EF60E256C4AF}" destId="{57B4E12D-6D64-4F35-B5CA-FA30692D949F}" srcOrd="1" destOrd="0" presId="urn:microsoft.com/office/officeart/2005/8/layout/orgChart1"/>
    <dgm:cxn modelId="{EEE6B610-C91E-4B00-AEC2-92036EF67395}" type="presParOf" srcId="{8B1E2EE4-B4B4-470B-9DFE-F4007702B3E5}" destId="{483BB155-9519-4E11-BF0D-D9715B525503}" srcOrd="1" destOrd="0" presId="urn:microsoft.com/office/officeart/2005/8/layout/orgChart1"/>
    <dgm:cxn modelId="{72FC137D-9F9E-4931-AF0D-96357B34A841}" type="presParOf" srcId="{8B1E2EE4-B4B4-470B-9DFE-F4007702B3E5}" destId="{40203999-ADCD-4ED2-ADDC-E1B486DE3B43}" srcOrd="2" destOrd="0" presId="urn:microsoft.com/office/officeart/2005/8/layout/orgChart1"/>
    <dgm:cxn modelId="{AE87B690-9375-4A4A-840F-501E9814AE50}" type="presParOf" srcId="{94077F23-31E5-4C05-BC86-096A826E6FAE}" destId="{5F913C0E-29E5-47B0-8800-0A8BD2CEA467}" srcOrd="8" destOrd="0" presId="urn:microsoft.com/office/officeart/2005/8/layout/orgChart1"/>
    <dgm:cxn modelId="{84CEC697-8E9B-4A1F-9129-B033316714C3}" type="presParOf" srcId="{94077F23-31E5-4C05-BC86-096A826E6FAE}" destId="{8FEB6EB3-4371-47C1-9E47-32B253CE9394}" srcOrd="9" destOrd="0" presId="urn:microsoft.com/office/officeart/2005/8/layout/orgChart1"/>
    <dgm:cxn modelId="{5FF108B2-C2F6-4634-9DB6-5FA9A7900E74}" type="presParOf" srcId="{8FEB6EB3-4371-47C1-9E47-32B253CE9394}" destId="{62B02B92-3663-4D8E-B4D1-36CC29D49A70}" srcOrd="0" destOrd="0" presId="urn:microsoft.com/office/officeart/2005/8/layout/orgChart1"/>
    <dgm:cxn modelId="{69F5747F-1590-429C-928E-A85AE48E895C}" type="presParOf" srcId="{62B02B92-3663-4D8E-B4D1-36CC29D49A70}" destId="{B96D179E-EF7F-44CD-9B87-869C0A8D1A8A}" srcOrd="0" destOrd="0" presId="urn:microsoft.com/office/officeart/2005/8/layout/orgChart1"/>
    <dgm:cxn modelId="{3C21DE5B-1C83-4B84-9154-92F0AF02F686}" type="presParOf" srcId="{62B02B92-3663-4D8E-B4D1-36CC29D49A70}" destId="{81D2E4E7-DFEC-4DD5-AB9D-C263269E6176}" srcOrd="1" destOrd="0" presId="urn:microsoft.com/office/officeart/2005/8/layout/orgChart1"/>
    <dgm:cxn modelId="{0114E4A2-4FF1-4892-9073-2BCC887F4A55}" type="presParOf" srcId="{8FEB6EB3-4371-47C1-9E47-32B253CE9394}" destId="{852DED00-470A-4F60-B32D-ED82CFD12A8D}" srcOrd="1" destOrd="0" presId="urn:microsoft.com/office/officeart/2005/8/layout/orgChart1"/>
    <dgm:cxn modelId="{E50148CE-D735-4999-873C-AF7FA743586A}" type="presParOf" srcId="{8FEB6EB3-4371-47C1-9E47-32B253CE9394}" destId="{3E9F751C-6C5B-40FD-A019-FF4D077B48BF}" srcOrd="2" destOrd="0" presId="urn:microsoft.com/office/officeart/2005/8/layout/orgChart1"/>
    <dgm:cxn modelId="{128B5E0C-5D29-4B16-B123-4FC64BC1B841}" type="presParOf" srcId="{94077F23-31E5-4C05-BC86-096A826E6FAE}" destId="{5491F87D-D1F4-4A54-893B-2B3636406592}" srcOrd="10" destOrd="0" presId="urn:microsoft.com/office/officeart/2005/8/layout/orgChart1"/>
    <dgm:cxn modelId="{38101710-DA8E-490E-BE74-1DDD5CCAE5D1}" type="presParOf" srcId="{94077F23-31E5-4C05-BC86-096A826E6FAE}" destId="{7299A196-25BA-4ADE-9CE9-DE038C4147E1}" srcOrd="11" destOrd="0" presId="urn:microsoft.com/office/officeart/2005/8/layout/orgChart1"/>
    <dgm:cxn modelId="{3B1D7B19-E1B9-4718-A022-5B91F82DE5CD}" type="presParOf" srcId="{7299A196-25BA-4ADE-9CE9-DE038C4147E1}" destId="{71CE2D8F-DCCE-48FF-AD73-7A550058AD1A}" srcOrd="0" destOrd="0" presId="urn:microsoft.com/office/officeart/2005/8/layout/orgChart1"/>
    <dgm:cxn modelId="{798342C6-CDC2-4187-8A55-DDD32E32F460}" type="presParOf" srcId="{71CE2D8F-DCCE-48FF-AD73-7A550058AD1A}" destId="{BC6F6FE4-4400-484C-823D-FA42F132BB08}" srcOrd="0" destOrd="0" presId="urn:microsoft.com/office/officeart/2005/8/layout/orgChart1"/>
    <dgm:cxn modelId="{E1AE4173-4EAB-45CE-8E01-8880FBBC04BC}" type="presParOf" srcId="{71CE2D8F-DCCE-48FF-AD73-7A550058AD1A}" destId="{6A2B546C-B706-4E20-B524-D17EAA8E99B1}" srcOrd="1" destOrd="0" presId="urn:microsoft.com/office/officeart/2005/8/layout/orgChart1"/>
    <dgm:cxn modelId="{6F5B0570-2E67-42C4-8291-38DD83EFF16B}" type="presParOf" srcId="{7299A196-25BA-4ADE-9CE9-DE038C4147E1}" destId="{5A4436FE-83B6-4BE4-8724-D0655797B85A}" srcOrd="1" destOrd="0" presId="urn:microsoft.com/office/officeart/2005/8/layout/orgChart1"/>
    <dgm:cxn modelId="{4FA514EC-C8FE-4001-A190-7E0958C72AED}" type="presParOf" srcId="{7299A196-25BA-4ADE-9CE9-DE038C4147E1}" destId="{05656F71-AE6B-4D86-9586-634AF614C9AC}" srcOrd="2" destOrd="0" presId="urn:microsoft.com/office/officeart/2005/8/layout/orgChar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491F87D-D1F4-4A54-893B-2B3636406592}">
      <dsp:nvSpPr>
        <dsp:cNvPr id="0" name=""/>
        <dsp:cNvSpPr/>
      </dsp:nvSpPr>
      <dsp:spPr>
        <a:xfrm>
          <a:off x="13101622" y="3584675"/>
          <a:ext cx="126080" cy="2257445"/>
        </a:xfrm>
        <a:custGeom>
          <a:avLst/>
          <a:gdLst/>
          <a:ahLst/>
          <a:cxnLst/>
          <a:rect l="0" t="0" r="0" b="0"/>
          <a:pathLst>
            <a:path>
              <a:moveTo>
                <a:pt x="0" y="0"/>
              </a:moveTo>
              <a:lnTo>
                <a:pt x="0" y="2257445"/>
              </a:lnTo>
              <a:lnTo>
                <a:pt x="126080" y="2257445"/>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F913C0E-29E5-47B0-8800-0A8BD2CEA467}">
      <dsp:nvSpPr>
        <dsp:cNvPr id="0" name=""/>
        <dsp:cNvSpPr/>
      </dsp:nvSpPr>
      <dsp:spPr>
        <a:xfrm>
          <a:off x="12975541" y="3584675"/>
          <a:ext cx="126080" cy="2257445"/>
        </a:xfrm>
        <a:custGeom>
          <a:avLst/>
          <a:gdLst/>
          <a:ahLst/>
          <a:cxnLst/>
          <a:rect l="0" t="0" r="0" b="0"/>
          <a:pathLst>
            <a:path>
              <a:moveTo>
                <a:pt x="126080" y="0"/>
              </a:moveTo>
              <a:lnTo>
                <a:pt x="126080" y="2257445"/>
              </a:lnTo>
              <a:lnTo>
                <a:pt x="0" y="2257445"/>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C6003688-8891-4E3A-B9CA-D58DDDC82F60}">
      <dsp:nvSpPr>
        <dsp:cNvPr id="0" name=""/>
        <dsp:cNvSpPr/>
      </dsp:nvSpPr>
      <dsp:spPr>
        <a:xfrm>
          <a:off x="13101622" y="3584675"/>
          <a:ext cx="126080" cy="1404899"/>
        </a:xfrm>
        <a:custGeom>
          <a:avLst/>
          <a:gdLst/>
          <a:ahLst/>
          <a:cxnLst/>
          <a:rect l="0" t="0" r="0" b="0"/>
          <a:pathLst>
            <a:path>
              <a:moveTo>
                <a:pt x="0" y="0"/>
              </a:moveTo>
              <a:lnTo>
                <a:pt x="0" y="1404899"/>
              </a:lnTo>
              <a:lnTo>
                <a:pt x="126080" y="1404899"/>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2234FF20-EFDB-4F37-979D-44D054A1E933}">
      <dsp:nvSpPr>
        <dsp:cNvPr id="0" name=""/>
        <dsp:cNvSpPr/>
      </dsp:nvSpPr>
      <dsp:spPr>
        <a:xfrm>
          <a:off x="12975541" y="3584675"/>
          <a:ext cx="126080" cy="1404899"/>
        </a:xfrm>
        <a:custGeom>
          <a:avLst/>
          <a:gdLst/>
          <a:ahLst/>
          <a:cxnLst/>
          <a:rect l="0" t="0" r="0" b="0"/>
          <a:pathLst>
            <a:path>
              <a:moveTo>
                <a:pt x="126080" y="0"/>
              </a:moveTo>
              <a:lnTo>
                <a:pt x="126080" y="1404899"/>
              </a:lnTo>
              <a:lnTo>
                <a:pt x="0" y="1404899"/>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18C3AB5E-E652-4404-9C9B-84011035CDAE}">
      <dsp:nvSpPr>
        <dsp:cNvPr id="0" name=""/>
        <dsp:cNvSpPr/>
      </dsp:nvSpPr>
      <dsp:spPr>
        <a:xfrm>
          <a:off x="13101622" y="3584675"/>
          <a:ext cx="126080" cy="552353"/>
        </a:xfrm>
        <a:custGeom>
          <a:avLst/>
          <a:gdLst/>
          <a:ahLst/>
          <a:cxnLst/>
          <a:rect l="0" t="0" r="0" b="0"/>
          <a:pathLst>
            <a:path>
              <a:moveTo>
                <a:pt x="0" y="0"/>
              </a:moveTo>
              <a:lnTo>
                <a:pt x="0" y="552353"/>
              </a:lnTo>
              <a:lnTo>
                <a:pt x="126080" y="552353"/>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5255AA6-56C8-4D50-A68F-85A765536CB2}">
      <dsp:nvSpPr>
        <dsp:cNvPr id="0" name=""/>
        <dsp:cNvSpPr/>
      </dsp:nvSpPr>
      <dsp:spPr>
        <a:xfrm>
          <a:off x="12975541" y="3584675"/>
          <a:ext cx="126080" cy="552353"/>
        </a:xfrm>
        <a:custGeom>
          <a:avLst/>
          <a:gdLst/>
          <a:ahLst/>
          <a:cxnLst/>
          <a:rect l="0" t="0" r="0" b="0"/>
          <a:pathLst>
            <a:path>
              <a:moveTo>
                <a:pt x="126080" y="0"/>
              </a:moveTo>
              <a:lnTo>
                <a:pt x="126080" y="552353"/>
              </a:lnTo>
              <a:lnTo>
                <a:pt x="0" y="552353"/>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E24A72C0-E41A-4230-8D28-F4D79489BDD9}">
      <dsp:nvSpPr>
        <dsp:cNvPr id="0" name=""/>
        <dsp:cNvSpPr/>
      </dsp:nvSpPr>
      <dsp:spPr>
        <a:xfrm>
          <a:off x="13988348" y="2191570"/>
          <a:ext cx="566204" cy="880019"/>
        </a:xfrm>
        <a:custGeom>
          <a:avLst/>
          <a:gdLst/>
          <a:ahLst/>
          <a:cxnLst/>
          <a:rect l="0" t="0" r="0" b="0"/>
          <a:pathLst>
            <a:path>
              <a:moveTo>
                <a:pt x="566204" y="0"/>
              </a:moveTo>
              <a:lnTo>
                <a:pt x="566204" y="880019"/>
              </a:lnTo>
              <a:lnTo>
                <a:pt x="0" y="880019"/>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8B1429D-602B-40B8-9F24-0D64113EBBC8}">
      <dsp:nvSpPr>
        <dsp:cNvPr id="0" name=""/>
        <dsp:cNvSpPr/>
      </dsp:nvSpPr>
      <dsp:spPr>
        <a:xfrm>
          <a:off x="11648692" y="1453796"/>
          <a:ext cx="1968474" cy="552353"/>
        </a:xfrm>
        <a:custGeom>
          <a:avLst/>
          <a:gdLst/>
          <a:ahLst/>
          <a:cxnLst/>
          <a:rect l="0" t="0" r="0" b="0"/>
          <a:pathLst>
            <a:path>
              <a:moveTo>
                <a:pt x="0" y="0"/>
              </a:moveTo>
              <a:lnTo>
                <a:pt x="0" y="552353"/>
              </a:lnTo>
              <a:lnTo>
                <a:pt x="1968474" y="552353"/>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9D019E90-04F4-4D59-8870-10660B2E579F}">
      <dsp:nvSpPr>
        <dsp:cNvPr id="0" name=""/>
        <dsp:cNvSpPr/>
      </dsp:nvSpPr>
      <dsp:spPr>
        <a:xfrm>
          <a:off x="8823667" y="5847824"/>
          <a:ext cx="299567" cy="4538167"/>
        </a:xfrm>
        <a:custGeom>
          <a:avLst/>
          <a:gdLst/>
          <a:ahLst/>
          <a:cxnLst/>
          <a:rect l="0" t="0" r="0" b="0"/>
          <a:pathLst>
            <a:path>
              <a:moveTo>
                <a:pt x="299567" y="0"/>
              </a:moveTo>
              <a:lnTo>
                <a:pt x="299567" y="4538167"/>
              </a:lnTo>
              <a:lnTo>
                <a:pt x="0" y="4538167"/>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9F3CFC88-E747-4218-8D7B-03BD7743712A}">
      <dsp:nvSpPr>
        <dsp:cNvPr id="0" name=""/>
        <dsp:cNvSpPr/>
      </dsp:nvSpPr>
      <dsp:spPr>
        <a:xfrm>
          <a:off x="9123234" y="5847824"/>
          <a:ext cx="126080" cy="3522287"/>
        </a:xfrm>
        <a:custGeom>
          <a:avLst/>
          <a:gdLst/>
          <a:ahLst/>
          <a:cxnLst/>
          <a:rect l="0" t="0" r="0" b="0"/>
          <a:pathLst>
            <a:path>
              <a:moveTo>
                <a:pt x="0" y="0"/>
              </a:moveTo>
              <a:lnTo>
                <a:pt x="0" y="3522287"/>
              </a:lnTo>
              <a:lnTo>
                <a:pt x="126080" y="3522287"/>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09483BB6-3096-43E2-925D-5544951B95F6}">
      <dsp:nvSpPr>
        <dsp:cNvPr id="0" name=""/>
        <dsp:cNvSpPr/>
      </dsp:nvSpPr>
      <dsp:spPr>
        <a:xfrm>
          <a:off x="8823667" y="5847824"/>
          <a:ext cx="299567" cy="3358952"/>
        </a:xfrm>
        <a:custGeom>
          <a:avLst/>
          <a:gdLst/>
          <a:ahLst/>
          <a:cxnLst/>
          <a:rect l="0" t="0" r="0" b="0"/>
          <a:pathLst>
            <a:path>
              <a:moveTo>
                <a:pt x="299567" y="0"/>
              </a:moveTo>
              <a:lnTo>
                <a:pt x="299567" y="3358952"/>
              </a:lnTo>
              <a:lnTo>
                <a:pt x="0" y="3358952"/>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BEA14751-1ADD-4D02-87D7-2FFC8888D33C}">
      <dsp:nvSpPr>
        <dsp:cNvPr id="0" name=""/>
        <dsp:cNvSpPr/>
      </dsp:nvSpPr>
      <dsp:spPr>
        <a:xfrm>
          <a:off x="9123234" y="5847824"/>
          <a:ext cx="126080" cy="2506406"/>
        </a:xfrm>
        <a:custGeom>
          <a:avLst/>
          <a:gdLst/>
          <a:ahLst/>
          <a:cxnLst/>
          <a:rect l="0" t="0" r="0" b="0"/>
          <a:pathLst>
            <a:path>
              <a:moveTo>
                <a:pt x="0" y="0"/>
              </a:moveTo>
              <a:lnTo>
                <a:pt x="0" y="2506406"/>
              </a:lnTo>
              <a:lnTo>
                <a:pt x="126080" y="2506406"/>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4344BF7-E9DC-4C6B-8742-C1203F77DADC}">
      <dsp:nvSpPr>
        <dsp:cNvPr id="0" name=""/>
        <dsp:cNvSpPr/>
      </dsp:nvSpPr>
      <dsp:spPr>
        <a:xfrm>
          <a:off x="8823667" y="5847824"/>
          <a:ext cx="299567" cy="2506406"/>
        </a:xfrm>
        <a:custGeom>
          <a:avLst/>
          <a:gdLst/>
          <a:ahLst/>
          <a:cxnLst/>
          <a:rect l="0" t="0" r="0" b="0"/>
          <a:pathLst>
            <a:path>
              <a:moveTo>
                <a:pt x="299567" y="0"/>
              </a:moveTo>
              <a:lnTo>
                <a:pt x="299567" y="2506406"/>
              </a:lnTo>
              <a:lnTo>
                <a:pt x="0" y="2506406"/>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6D7FB3D-ED2C-49A0-9E53-D30377B734F8}">
      <dsp:nvSpPr>
        <dsp:cNvPr id="0" name=""/>
        <dsp:cNvSpPr/>
      </dsp:nvSpPr>
      <dsp:spPr>
        <a:xfrm>
          <a:off x="9123234" y="5847824"/>
          <a:ext cx="126080" cy="1653860"/>
        </a:xfrm>
        <a:custGeom>
          <a:avLst/>
          <a:gdLst/>
          <a:ahLst/>
          <a:cxnLst/>
          <a:rect l="0" t="0" r="0" b="0"/>
          <a:pathLst>
            <a:path>
              <a:moveTo>
                <a:pt x="0" y="0"/>
              </a:moveTo>
              <a:lnTo>
                <a:pt x="0" y="1653860"/>
              </a:lnTo>
              <a:lnTo>
                <a:pt x="126080" y="165386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3D71D841-712F-4D76-89F3-0DB7A1D26C62}">
      <dsp:nvSpPr>
        <dsp:cNvPr id="0" name=""/>
        <dsp:cNvSpPr/>
      </dsp:nvSpPr>
      <dsp:spPr>
        <a:xfrm>
          <a:off x="8823667" y="5847824"/>
          <a:ext cx="299567" cy="1653860"/>
        </a:xfrm>
        <a:custGeom>
          <a:avLst/>
          <a:gdLst/>
          <a:ahLst/>
          <a:cxnLst/>
          <a:rect l="0" t="0" r="0" b="0"/>
          <a:pathLst>
            <a:path>
              <a:moveTo>
                <a:pt x="299567" y="0"/>
              </a:moveTo>
              <a:lnTo>
                <a:pt x="299567" y="1653860"/>
              </a:lnTo>
              <a:lnTo>
                <a:pt x="0" y="1653860"/>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BFAC3BAC-3696-4BA0-A877-29A97AF2CC5F}">
      <dsp:nvSpPr>
        <dsp:cNvPr id="0" name=""/>
        <dsp:cNvSpPr/>
      </dsp:nvSpPr>
      <dsp:spPr>
        <a:xfrm>
          <a:off x="9123234" y="5847824"/>
          <a:ext cx="126080" cy="552353"/>
        </a:xfrm>
        <a:custGeom>
          <a:avLst/>
          <a:gdLst/>
          <a:ahLst/>
          <a:cxnLst/>
          <a:rect l="0" t="0" r="0" b="0"/>
          <a:pathLst>
            <a:path>
              <a:moveTo>
                <a:pt x="0" y="0"/>
              </a:moveTo>
              <a:lnTo>
                <a:pt x="0" y="552353"/>
              </a:lnTo>
              <a:lnTo>
                <a:pt x="126080" y="552353"/>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6C9353EB-805B-442D-91AF-72DBD97C1BD7}">
      <dsp:nvSpPr>
        <dsp:cNvPr id="0" name=""/>
        <dsp:cNvSpPr/>
      </dsp:nvSpPr>
      <dsp:spPr>
        <a:xfrm>
          <a:off x="8997154" y="5847824"/>
          <a:ext cx="126080" cy="676834"/>
        </a:xfrm>
        <a:custGeom>
          <a:avLst/>
          <a:gdLst/>
          <a:ahLst/>
          <a:cxnLst/>
          <a:rect l="0" t="0" r="0" b="0"/>
          <a:pathLst>
            <a:path>
              <a:moveTo>
                <a:pt x="126080" y="0"/>
              </a:moveTo>
              <a:lnTo>
                <a:pt x="126080" y="676834"/>
              </a:lnTo>
              <a:lnTo>
                <a:pt x="0" y="676834"/>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96325B5F-A91F-4B78-83F6-68B35E247A6A}">
      <dsp:nvSpPr>
        <dsp:cNvPr id="0" name=""/>
        <dsp:cNvSpPr/>
      </dsp:nvSpPr>
      <dsp:spPr>
        <a:xfrm>
          <a:off x="10369753" y="4011434"/>
          <a:ext cx="552473" cy="1044275"/>
        </a:xfrm>
        <a:custGeom>
          <a:avLst/>
          <a:gdLst/>
          <a:ahLst/>
          <a:cxnLst/>
          <a:rect l="0" t="0" r="0" b="0"/>
          <a:pathLst>
            <a:path>
              <a:moveTo>
                <a:pt x="552473" y="0"/>
              </a:moveTo>
              <a:lnTo>
                <a:pt x="552473" y="1044275"/>
              </a:lnTo>
              <a:lnTo>
                <a:pt x="0" y="1044275"/>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94BD7E82-9F96-480D-BF25-E80C18A3ABCC}">
      <dsp:nvSpPr>
        <dsp:cNvPr id="0" name=""/>
        <dsp:cNvSpPr/>
      </dsp:nvSpPr>
      <dsp:spPr>
        <a:xfrm>
          <a:off x="7496817" y="2306342"/>
          <a:ext cx="2825024" cy="1404899"/>
        </a:xfrm>
        <a:custGeom>
          <a:avLst/>
          <a:gdLst/>
          <a:ahLst/>
          <a:cxnLst/>
          <a:rect l="0" t="0" r="0" b="0"/>
          <a:pathLst>
            <a:path>
              <a:moveTo>
                <a:pt x="0" y="0"/>
              </a:moveTo>
              <a:lnTo>
                <a:pt x="0" y="1404899"/>
              </a:lnTo>
              <a:lnTo>
                <a:pt x="2825024" y="1404899"/>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C27D178-A63A-4E24-B490-E79A2F631056}">
      <dsp:nvSpPr>
        <dsp:cNvPr id="0" name=""/>
        <dsp:cNvSpPr/>
      </dsp:nvSpPr>
      <dsp:spPr>
        <a:xfrm>
          <a:off x="7370736" y="2306342"/>
          <a:ext cx="126080" cy="1404899"/>
        </a:xfrm>
        <a:custGeom>
          <a:avLst/>
          <a:gdLst/>
          <a:ahLst/>
          <a:cxnLst/>
          <a:rect l="0" t="0" r="0" b="0"/>
          <a:pathLst>
            <a:path>
              <a:moveTo>
                <a:pt x="126080" y="0"/>
              </a:moveTo>
              <a:lnTo>
                <a:pt x="126080" y="1404899"/>
              </a:lnTo>
              <a:lnTo>
                <a:pt x="0" y="1404899"/>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94D59F56-F6C7-41B7-8214-5C5044F4F916}">
      <dsp:nvSpPr>
        <dsp:cNvPr id="0" name=""/>
        <dsp:cNvSpPr/>
      </dsp:nvSpPr>
      <dsp:spPr>
        <a:xfrm>
          <a:off x="7496817" y="2306342"/>
          <a:ext cx="126080" cy="552353"/>
        </a:xfrm>
        <a:custGeom>
          <a:avLst/>
          <a:gdLst/>
          <a:ahLst/>
          <a:cxnLst/>
          <a:rect l="0" t="0" r="0" b="0"/>
          <a:pathLst>
            <a:path>
              <a:moveTo>
                <a:pt x="0" y="0"/>
              </a:moveTo>
              <a:lnTo>
                <a:pt x="0" y="552353"/>
              </a:lnTo>
              <a:lnTo>
                <a:pt x="126080" y="552353"/>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93752990-47C7-4C63-8BA5-1C69E7F5821A}">
      <dsp:nvSpPr>
        <dsp:cNvPr id="0" name=""/>
        <dsp:cNvSpPr/>
      </dsp:nvSpPr>
      <dsp:spPr>
        <a:xfrm>
          <a:off x="7370736" y="2306342"/>
          <a:ext cx="126080" cy="552353"/>
        </a:xfrm>
        <a:custGeom>
          <a:avLst/>
          <a:gdLst/>
          <a:ahLst/>
          <a:cxnLst/>
          <a:rect l="0" t="0" r="0" b="0"/>
          <a:pathLst>
            <a:path>
              <a:moveTo>
                <a:pt x="126080" y="0"/>
              </a:moveTo>
              <a:lnTo>
                <a:pt x="126080" y="552353"/>
              </a:lnTo>
              <a:lnTo>
                <a:pt x="0" y="552353"/>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32A7DEE1-46C1-4C98-824E-B761B023C4EF}">
      <dsp:nvSpPr>
        <dsp:cNvPr id="0" name=""/>
        <dsp:cNvSpPr/>
      </dsp:nvSpPr>
      <dsp:spPr>
        <a:xfrm>
          <a:off x="8908501" y="1453796"/>
          <a:ext cx="2740190" cy="552353"/>
        </a:xfrm>
        <a:custGeom>
          <a:avLst/>
          <a:gdLst/>
          <a:ahLst/>
          <a:cxnLst/>
          <a:rect l="0" t="0" r="0" b="0"/>
          <a:pathLst>
            <a:path>
              <a:moveTo>
                <a:pt x="2740190" y="0"/>
              </a:moveTo>
              <a:lnTo>
                <a:pt x="2740190" y="552353"/>
              </a:lnTo>
              <a:lnTo>
                <a:pt x="0" y="552353"/>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A38456E-D50D-4166-BFB4-4E63C5ADABBD}">
      <dsp:nvSpPr>
        <dsp:cNvPr id="0" name=""/>
        <dsp:cNvSpPr/>
      </dsp:nvSpPr>
      <dsp:spPr>
        <a:xfrm>
          <a:off x="5959052" y="601250"/>
          <a:ext cx="4730573" cy="552353"/>
        </a:xfrm>
        <a:custGeom>
          <a:avLst/>
          <a:gdLst/>
          <a:ahLst/>
          <a:cxnLst/>
          <a:rect l="0" t="0" r="0" b="0"/>
          <a:pathLst>
            <a:path>
              <a:moveTo>
                <a:pt x="0" y="0"/>
              </a:moveTo>
              <a:lnTo>
                <a:pt x="0" y="552353"/>
              </a:lnTo>
              <a:lnTo>
                <a:pt x="4730573" y="552353"/>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82516418-227E-4B27-8FB3-224A0D5A7A0D}">
      <dsp:nvSpPr>
        <dsp:cNvPr id="0" name=""/>
        <dsp:cNvSpPr/>
      </dsp:nvSpPr>
      <dsp:spPr>
        <a:xfrm>
          <a:off x="3779657" y="3158888"/>
          <a:ext cx="126080" cy="1404899"/>
        </a:xfrm>
        <a:custGeom>
          <a:avLst/>
          <a:gdLst/>
          <a:ahLst/>
          <a:cxnLst/>
          <a:rect l="0" t="0" r="0" b="0"/>
          <a:pathLst>
            <a:path>
              <a:moveTo>
                <a:pt x="0" y="0"/>
              </a:moveTo>
              <a:lnTo>
                <a:pt x="0" y="1404899"/>
              </a:lnTo>
              <a:lnTo>
                <a:pt x="126080" y="1404899"/>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ACE94CAF-E8A6-4CF4-BD1C-3775C74BEC6D}">
      <dsp:nvSpPr>
        <dsp:cNvPr id="0" name=""/>
        <dsp:cNvSpPr/>
      </dsp:nvSpPr>
      <dsp:spPr>
        <a:xfrm>
          <a:off x="3653576" y="3158888"/>
          <a:ext cx="126080" cy="1404899"/>
        </a:xfrm>
        <a:custGeom>
          <a:avLst/>
          <a:gdLst/>
          <a:ahLst/>
          <a:cxnLst/>
          <a:rect l="0" t="0" r="0" b="0"/>
          <a:pathLst>
            <a:path>
              <a:moveTo>
                <a:pt x="126080" y="0"/>
              </a:moveTo>
              <a:lnTo>
                <a:pt x="126080" y="1404899"/>
              </a:lnTo>
              <a:lnTo>
                <a:pt x="0" y="1404899"/>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2BB0DDB4-12FE-4D64-96A4-1C66DEA30EA9}">
      <dsp:nvSpPr>
        <dsp:cNvPr id="0" name=""/>
        <dsp:cNvSpPr/>
      </dsp:nvSpPr>
      <dsp:spPr>
        <a:xfrm>
          <a:off x="3779657" y="3158888"/>
          <a:ext cx="126080" cy="552353"/>
        </a:xfrm>
        <a:custGeom>
          <a:avLst/>
          <a:gdLst/>
          <a:ahLst/>
          <a:cxnLst/>
          <a:rect l="0" t="0" r="0" b="0"/>
          <a:pathLst>
            <a:path>
              <a:moveTo>
                <a:pt x="0" y="0"/>
              </a:moveTo>
              <a:lnTo>
                <a:pt x="0" y="552353"/>
              </a:lnTo>
              <a:lnTo>
                <a:pt x="126080" y="552353"/>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9E17A56F-9C37-4700-8C91-0225C5987C02}">
      <dsp:nvSpPr>
        <dsp:cNvPr id="0" name=""/>
        <dsp:cNvSpPr/>
      </dsp:nvSpPr>
      <dsp:spPr>
        <a:xfrm>
          <a:off x="3653576" y="3158888"/>
          <a:ext cx="126080" cy="552353"/>
        </a:xfrm>
        <a:custGeom>
          <a:avLst/>
          <a:gdLst/>
          <a:ahLst/>
          <a:cxnLst/>
          <a:rect l="0" t="0" r="0" b="0"/>
          <a:pathLst>
            <a:path>
              <a:moveTo>
                <a:pt x="126080" y="0"/>
              </a:moveTo>
              <a:lnTo>
                <a:pt x="126080" y="552353"/>
              </a:lnTo>
              <a:lnTo>
                <a:pt x="0" y="552353"/>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E3917415-F641-4A2F-A1B4-9B1E839C9B2D}">
      <dsp:nvSpPr>
        <dsp:cNvPr id="0" name=""/>
        <dsp:cNvSpPr/>
      </dsp:nvSpPr>
      <dsp:spPr>
        <a:xfrm>
          <a:off x="4380041" y="2306342"/>
          <a:ext cx="852545" cy="552353"/>
        </a:xfrm>
        <a:custGeom>
          <a:avLst/>
          <a:gdLst/>
          <a:ahLst/>
          <a:cxnLst/>
          <a:rect l="0" t="0" r="0" b="0"/>
          <a:pathLst>
            <a:path>
              <a:moveTo>
                <a:pt x="852545" y="0"/>
              </a:moveTo>
              <a:lnTo>
                <a:pt x="852545" y="552353"/>
              </a:lnTo>
              <a:lnTo>
                <a:pt x="0" y="552353"/>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88711CEE-209A-4467-B2DE-D0614A9CAF2B}">
      <dsp:nvSpPr>
        <dsp:cNvPr id="0" name=""/>
        <dsp:cNvSpPr/>
      </dsp:nvSpPr>
      <dsp:spPr>
        <a:xfrm>
          <a:off x="2326727" y="1453796"/>
          <a:ext cx="2305476" cy="552353"/>
        </a:xfrm>
        <a:custGeom>
          <a:avLst/>
          <a:gdLst/>
          <a:ahLst/>
          <a:cxnLst/>
          <a:rect l="0" t="0" r="0" b="0"/>
          <a:pathLst>
            <a:path>
              <a:moveTo>
                <a:pt x="0" y="0"/>
              </a:moveTo>
              <a:lnTo>
                <a:pt x="0" y="552353"/>
              </a:lnTo>
              <a:lnTo>
                <a:pt x="2305476" y="552353"/>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E9ECE24-F11A-4ABB-89DF-C01E0A9FD2CC}">
      <dsp:nvSpPr>
        <dsp:cNvPr id="0" name=""/>
        <dsp:cNvSpPr/>
      </dsp:nvSpPr>
      <dsp:spPr>
        <a:xfrm>
          <a:off x="2200646" y="1453796"/>
          <a:ext cx="126080" cy="622418"/>
        </a:xfrm>
        <a:custGeom>
          <a:avLst/>
          <a:gdLst/>
          <a:ahLst/>
          <a:cxnLst/>
          <a:rect l="0" t="0" r="0" b="0"/>
          <a:pathLst>
            <a:path>
              <a:moveTo>
                <a:pt x="126080" y="0"/>
              </a:moveTo>
              <a:lnTo>
                <a:pt x="126080" y="622418"/>
              </a:lnTo>
              <a:lnTo>
                <a:pt x="0" y="622418"/>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4F40A149-E423-4A91-A337-7ADCEC1B0EB7}">
      <dsp:nvSpPr>
        <dsp:cNvPr id="0" name=""/>
        <dsp:cNvSpPr/>
      </dsp:nvSpPr>
      <dsp:spPr>
        <a:xfrm>
          <a:off x="2927111" y="601250"/>
          <a:ext cx="3031941" cy="552353"/>
        </a:xfrm>
        <a:custGeom>
          <a:avLst/>
          <a:gdLst/>
          <a:ahLst/>
          <a:cxnLst/>
          <a:rect l="0" t="0" r="0" b="0"/>
          <a:pathLst>
            <a:path>
              <a:moveTo>
                <a:pt x="3031941" y="0"/>
              </a:moveTo>
              <a:lnTo>
                <a:pt x="3031941" y="552353"/>
              </a:lnTo>
              <a:lnTo>
                <a:pt x="0" y="552353"/>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478F74FB-61C5-4FA8-8D56-C70F3A9B0B40}">
      <dsp:nvSpPr>
        <dsp:cNvPr id="0" name=""/>
        <dsp:cNvSpPr/>
      </dsp:nvSpPr>
      <dsp:spPr>
        <a:xfrm>
          <a:off x="4995952" y="866"/>
          <a:ext cx="1926201" cy="600384"/>
        </a:xfrm>
        <a:prstGeom prst="rect">
          <a:avLst/>
        </a:prstGeom>
        <a:solidFill>
          <a:srgbClr val="70AD47">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Board of Directors (8)</a:t>
          </a:r>
        </a:p>
      </dsp:txBody>
      <dsp:txXfrm>
        <a:off x="4995952" y="866"/>
        <a:ext cx="1926201" cy="600384"/>
      </dsp:txXfrm>
    </dsp:sp>
    <dsp:sp modelId="{8981F1F3-545D-44DE-9AB5-6C26AD224AC2}">
      <dsp:nvSpPr>
        <dsp:cNvPr id="0" name=""/>
        <dsp:cNvSpPr/>
      </dsp:nvSpPr>
      <dsp:spPr>
        <a:xfrm>
          <a:off x="1726342" y="853412"/>
          <a:ext cx="1200768" cy="600384"/>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CEO</a:t>
          </a:r>
        </a:p>
      </dsp:txBody>
      <dsp:txXfrm>
        <a:off x="1726342" y="853412"/>
        <a:ext cx="1200768" cy="600384"/>
      </dsp:txXfrm>
    </dsp:sp>
    <dsp:sp modelId="{D972D2BE-3F8E-4F29-BF1B-BDE8AB4B7B77}">
      <dsp:nvSpPr>
        <dsp:cNvPr id="0" name=""/>
        <dsp:cNvSpPr/>
      </dsp:nvSpPr>
      <dsp:spPr>
        <a:xfrm>
          <a:off x="919654" y="1705958"/>
          <a:ext cx="1280992" cy="740514"/>
        </a:xfrm>
        <a:prstGeom prst="rect">
          <a:avLst/>
        </a:prstGeom>
        <a:solidFill>
          <a:srgbClr val="ED7D31">
            <a:lumMod val="40000"/>
            <a:lumOff val="60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Text" lastClr="000000"/>
              </a:solidFill>
              <a:latin typeface="Aptos" panose="020B0004020202020204" pitchFamily="34" charset="0"/>
              <a:ea typeface="+mn-ea"/>
              <a:cs typeface="+mn-cs"/>
            </a:rPr>
            <a:t>Corporate Counsel (Contract)</a:t>
          </a:r>
        </a:p>
      </dsp:txBody>
      <dsp:txXfrm>
        <a:off x="919654" y="1705958"/>
        <a:ext cx="1280992" cy="740514"/>
      </dsp:txXfrm>
    </dsp:sp>
    <dsp:sp modelId="{58FA21DD-3F2F-45C9-8E2E-233D5343EFE3}">
      <dsp:nvSpPr>
        <dsp:cNvPr id="0" name=""/>
        <dsp:cNvSpPr/>
      </dsp:nvSpPr>
      <dsp:spPr>
        <a:xfrm>
          <a:off x="4632203" y="1705958"/>
          <a:ext cx="1200768" cy="600384"/>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COO</a:t>
          </a:r>
        </a:p>
      </dsp:txBody>
      <dsp:txXfrm>
        <a:off x="4632203" y="1705958"/>
        <a:ext cx="1200768" cy="600384"/>
      </dsp:txXfrm>
    </dsp:sp>
    <dsp:sp modelId="{9FB18A12-7A9E-4F3E-AE30-FC6483217B23}">
      <dsp:nvSpPr>
        <dsp:cNvPr id="0" name=""/>
        <dsp:cNvSpPr/>
      </dsp:nvSpPr>
      <dsp:spPr>
        <a:xfrm>
          <a:off x="3179272" y="2558504"/>
          <a:ext cx="1200768" cy="600384"/>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Office Manager</a:t>
          </a:r>
        </a:p>
      </dsp:txBody>
      <dsp:txXfrm>
        <a:off x="3179272" y="2558504"/>
        <a:ext cx="1200768" cy="600384"/>
      </dsp:txXfrm>
    </dsp:sp>
    <dsp:sp modelId="{9D0E5FCE-0523-4AFB-8BA3-8FB8E81081B3}">
      <dsp:nvSpPr>
        <dsp:cNvPr id="0" name=""/>
        <dsp:cNvSpPr/>
      </dsp:nvSpPr>
      <dsp:spPr>
        <a:xfrm>
          <a:off x="2452807" y="3411050"/>
          <a:ext cx="1200768" cy="600384"/>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Administrative</a:t>
          </a:r>
          <a:r>
            <a:rPr lang="en-US" sz="1000" b="1" kern="1200">
              <a:latin typeface="Aptos" panose="020B0004020202020204" pitchFamily="34" charset="0"/>
            </a:rPr>
            <a:t> Assistant</a:t>
          </a:r>
        </a:p>
      </dsp:txBody>
      <dsp:txXfrm>
        <a:off x="2452807" y="3411050"/>
        <a:ext cx="1200768" cy="600384"/>
      </dsp:txXfrm>
    </dsp:sp>
    <dsp:sp modelId="{D40B097B-D4B6-4D1E-BFC4-06C5F94AA668}">
      <dsp:nvSpPr>
        <dsp:cNvPr id="0" name=""/>
        <dsp:cNvSpPr/>
      </dsp:nvSpPr>
      <dsp:spPr>
        <a:xfrm>
          <a:off x="3905738" y="3411050"/>
          <a:ext cx="1200768" cy="600384"/>
        </a:xfrm>
        <a:prstGeom prst="rect">
          <a:avLst/>
        </a:prstGeom>
        <a:solidFill>
          <a:srgbClr val="ED7D31">
            <a:lumMod val="40000"/>
            <a:lumOff val="60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Text" lastClr="000000"/>
              </a:solidFill>
              <a:latin typeface="Aptos" panose="020B0004020202020204" pitchFamily="34" charset="0"/>
              <a:ea typeface="+mn-ea"/>
              <a:cs typeface="+mn-cs"/>
            </a:rPr>
            <a:t>HR &amp; Payroll Services Management</a:t>
          </a:r>
        </a:p>
      </dsp:txBody>
      <dsp:txXfrm>
        <a:off x="3905738" y="3411050"/>
        <a:ext cx="1200768" cy="600384"/>
      </dsp:txXfrm>
    </dsp:sp>
    <dsp:sp modelId="{DA0F1F35-C154-4688-A4A2-31023C7FB110}">
      <dsp:nvSpPr>
        <dsp:cNvPr id="0" name=""/>
        <dsp:cNvSpPr/>
      </dsp:nvSpPr>
      <dsp:spPr>
        <a:xfrm>
          <a:off x="2452807" y="4263596"/>
          <a:ext cx="1200768" cy="600384"/>
        </a:xfrm>
        <a:prstGeom prst="rect">
          <a:avLst/>
        </a:prstGeom>
        <a:solidFill>
          <a:srgbClr val="ED7D31">
            <a:lumMod val="40000"/>
            <a:lumOff val="60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Text" lastClr="000000"/>
              </a:solidFill>
              <a:latin typeface="Aptos" panose="020B0004020202020204" pitchFamily="34" charset="0"/>
              <a:ea typeface="+mn-ea"/>
              <a:cs typeface="+mn-cs"/>
            </a:rPr>
            <a:t>IT Services Management</a:t>
          </a:r>
        </a:p>
      </dsp:txBody>
      <dsp:txXfrm>
        <a:off x="2452807" y="4263596"/>
        <a:ext cx="1200768" cy="600384"/>
      </dsp:txXfrm>
    </dsp:sp>
    <dsp:sp modelId="{BDA4091C-6E5A-4BA7-A0E8-38B41454F427}">
      <dsp:nvSpPr>
        <dsp:cNvPr id="0" name=""/>
        <dsp:cNvSpPr/>
      </dsp:nvSpPr>
      <dsp:spPr>
        <a:xfrm>
          <a:off x="3905738" y="4263596"/>
          <a:ext cx="1200768" cy="600384"/>
        </a:xfrm>
        <a:prstGeom prst="rect">
          <a:avLst/>
        </a:prstGeom>
        <a:solidFill>
          <a:srgbClr val="ED7D31">
            <a:lumMod val="40000"/>
            <a:lumOff val="60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Text" lastClr="000000"/>
              </a:solidFill>
              <a:latin typeface="Aptos" panose="020B0004020202020204" pitchFamily="34" charset="0"/>
              <a:ea typeface="+mn-ea"/>
              <a:cs typeface="+mn-cs"/>
            </a:rPr>
            <a:t>Financial Services Management</a:t>
          </a:r>
        </a:p>
      </dsp:txBody>
      <dsp:txXfrm>
        <a:off x="3905738" y="4263596"/>
        <a:ext cx="1200768" cy="600384"/>
      </dsp:txXfrm>
    </dsp:sp>
    <dsp:sp modelId="{025FA375-B041-4AED-A61A-C166E6DD1D7F}">
      <dsp:nvSpPr>
        <dsp:cNvPr id="0" name=""/>
        <dsp:cNvSpPr/>
      </dsp:nvSpPr>
      <dsp:spPr>
        <a:xfrm>
          <a:off x="10689625" y="853412"/>
          <a:ext cx="1918132" cy="600384"/>
        </a:xfrm>
        <a:prstGeom prst="rect">
          <a:avLst/>
        </a:prstGeom>
        <a:solidFill>
          <a:schemeClr val="accent4">
            <a:lumMod val="7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latin typeface="Aptos" panose="020B0004020202020204" pitchFamily="34" charset="0"/>
            </a:rPr>
            <a:t>  President &amp; CTO  </a:t>
          </a:r>
        </a:p>
      </dsp:txBody>
      <dsp:txXfrm>
        <a:off x="10689625" y="853412"/>
        <a:ext cx="1918132" cy="600384"/>
      </dsp:txXfrm>
    </dsp:sp>
    <dsp:sp modelId="{CB07F995-F8B1-4671-B289-54C3B63D028A}">
      <dsp:nvSpPr>
        <dsp:cNvPr id="0" name=""/>
        <dsp:cNvSpPr/>
      </dsp:nvSpPr>
      <dsp:spPr>
        <a:xfrm>
          <a:off x="6085133" y="1705958"/>
          <a:ext cx="2823367" cy="600384"/>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VP of Engineering</a:t>
          </a:r>
        </a:p>
      </dsp:txBody>
      <dsp:txXfrm>
        <a:off x="6085133" y="1705958"/>
        <a:ext cx="2823367" cy="600384"/>
      </dsp:txXfrm>
    </dsp:sp>
    <dsp:sp modelId="{6107919A-8100-4DAA-AFB3-032367F5622F}">
      <dsp:nvSpPr>
        <dsp:cNvPr id="0" name=""/>
        <dsp:cNvSpPr/>
      </dsp:nvSpPr>
      <dsp:spPr>
        <a:xfrm>
          <a:off x="6169967" y="2558504"/>
          <a:ext cx="1200768" cy="600384"/>
        </a:xfrm>
        <a:prstGeom prst="rect">
          <a:avLst/>
        </a:prstGeom>
        <a:solidFill>
          <a:srgbClr val="ED7D31">
            <a:lumMod val="40000"/>
            <a:lumOff val="60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Text" lastClr="000000"/>
              </a:solidFill>
              <a:latin typeface="Aptos" panose="020B0004020202020204" pitchFamily="34" charset="0"/>
              <a:ea typeface="+mn-ea"/>
              <a:cs typeface="+mn-cs"/>
            </a:rPr>
            <a:t>IP Management</a:t>
          </a:r>
        </a:p>
        <a:p>
          <a:pPr marL="0" lvl="0" indent="0" algn="ctr" defTabSz="444500">
            <a:lnSpc>
              <a:spcPct val="90000"/>
            </a:lnSpc>
            <a:spcBef>
              <a:spcPct val="0"/>
            </a:spcBef>
            <a:spcAft>
              <a:spcPct val="35000"/>
            </a:spcAft>
            <a:buNone/>
          </a:pPr>
          <a:r>
            <a:rPr lang="en-US" sz="1000" b="1" kern="1200">
              <a:solidFill>
                <a:sysClr val="windowText" lastClr="000000"/>
              </a:solidFill>
              <a:latin typeface="Aptos" panose="020B0004020202020204" pitchFamily="34" charset="0"/>
              <a:ea typeface="+mn-ea"/>
              <a:cs typeface="+mn-cs"/>
            </a:rPr>
            <a:t>(Contract) with Patent Attorney</a:t>
          </a:r>
        </a:p>
      </dsp:txBody>
      <dsp:txXfrm>
        <a:off x="6169967" y="2558504"/>
        <a:ext cx="1200768" cy="600384"/>
      </dsp:txXfrm>
    </dsp:sp>
    <dsp:sp modelId="{69CE16EC-8896-47A8-AB40-B3DDB86D9F03}">
      <dsp:nvSpPr>
        <dsp:cNvPr id="0" name=""/>
        <dsp:cNvSpPr/>
      </dsp:nvSpPr>
      <dsp:spPr>
        <a:xfrm>
          <a:off x="7622898" y="2558504"/>
          <a:ext cx="1200768" cy="600384"/>
        </a:xfrm>
        <a:prstGeom prst="rect">
          <a:avLst/>
        </a:prstGeom>
        <a:solidFill>
          <a:srgbClr val="ED7D31">
            <a:lumMod val="40000"/>
            <a:lumOff val="60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Text" lastClr="000000"/>
              </a:solidFill>
              <a:latin typeface="Aptos" panose="020B0004020202020204" pitchFamily="34" charset="0"/>
              <a:ea typeface="+mn-ea"/>
              <a:cs typeface="+mn-cs"/>
            </a:rPr>
            <a:t>One Passenger Skycar M100 Prototype Development</a:t>
          </a:r>
        </a:p>
      </dsp:txBody>
      <dsp:txXfrm>
        <a:off x="7622898" y="2558504"/>
        <a:ext cx="1200768" cy="600384"/>
      </dsp:txXfrm>
    </dsp:sp>
    <dsp:sp modelId="{20BCC644-167B-4747-B275-E611ADB7B740}">
      <dsp:nvSpPr>
        <dsp:cNvPr id="0" name=""/>
        <dsp:cNvSpPr/>
      </dsp:nvSpPr>
      <dsp:spPr>
        <a:xfrm>
          <a:off x="6169967" y="3411050"/>
          <a:ext cx="1200768" cy="600384"/>
        </a:xfrm>
        <a:prstGeom prst="rect">
          <a:avLst/>
        </a:prstGeom>
        <a:solidFill>
          <a:srgbClr val="ED7D31">
            <a:lumMod val="40000"/>
            <a:lumOff val="60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Text" lastClr="000000"/>
              </a:solidFill>
              <a:latin typeface="Aptos" panose="020B0004020202020204" pitchFamily="34" charset="0"/>
              <a:ea typeface="+mn-ea"/>
              <a:cs typeface="+mn-cs"/>
            </a:rPr>
            <a:t>Outside Consultants Management</a:t>
          </a:r>
        </a:p>
      </dsp:txBody>
      <dsp:txXfrm>
        <a:off x="6169967" y="3411050"/>
        <a:ext cx="1200768" cy="600384"/>
      </dsp:txXfrm>
    </dsp:sp>
    <dsp:sp modelId="{82F7E914-7B66-4772-80C5-FC33645EB2DB}">
      <dsp:nvSpPr>
        <dsp:cNvPr id="0" name=""/>
        <dsp:cNvSpPr/>
      </dsp:nvSpPr>
      <dsp:spPr>
        <a:xfrm>
          <a:off x="10321842" y="3411050"/>
          <a:ext cx="1200768" cy="600384"/>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Manufacturing Manager</a:t>
          </a:r>
        </a:p>
      </dsp:txBody>
      <dsp:txXfrm>
        <a:off x="10321842" y="3411050"/>
        <a:ext cx="1200768" cy="600384"/>
      </dsp:txXfrm>
    </dsp:sp>
    <dsp:sp modelId="{809A3BC2-E954-45CE-8902-E67F964F0EA9}">
      <dsp:nvSpPr>
        <dsp:cNvPr id="0" name=""/>
        <dsp:cNvSpPr/>
      </dsp:nvSpPr>
      <dsp:spPr>
        <a:xfrm>
          <a:off x="7876716" y="4263596"/>
          <a:ext cx="2493036" cy="1584228"/>
        </a:xfrm>
        <a:prstGeom prst="rect">
          <a:avLst/>
        </a:prstGeom>
        <a:solidFill>
          <a:srgbClr val="ED7D31">
            <a:lumMod val="40000"/>
            <a:lumOff val="60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Text" lastClr="000000"/>
              </a:solidFill>
              <a:latin typeface="Aptos" panose="020B0004020202020204" pitchFamily="34" charset="0"/>
              <a:ea typeface="+mn-ea"/>
              <a:cs typeface="+mn-cs"/>
            </a:rPr>
            <a:t>Manufacturing Staff</a:t>
          </a:r>
        </a:p>
        <a:p>
          <a:pPr marL="0" lvl="0" indent="0" algn="ctr" defTabSz="444500">
            <a:lnSpc>
              <a:spcPct val="90000"/>
            </a:lnSpc>
            <a:spcBef>
              <a:spcPct val="0"/>
            </a:spcBef>
            <a:spcAft>
              <a:spcPct val="35000"/>
            </a:spcAft>
            <a:buNone/>
          </a:pPr>
          <a:r>
            <a:rPr lang="en-US" sz="1000" b="1" kern="1200">
              <a:solidFill>
                <a:sysClr val="windowText" lastClr="000000"/>
              </a:solidFill>
              <a:latin typeface="Aptos" panose="020B0004020202020204" pitchFamily="34" charset="0"/>
              <a:ea typeface="+mn-ea"/>
              <a:cs typeface="+mn-cs"/>
            </a:rPr>
            <a:t>per Production Line</a:t>
          </a:r>
        </a:p>
      </dsp:txBody>
      <dsp:txXfrm>
        <a:off x="7876716" y="4263596"/>
        <a:ext cx="2493036" cy="1584228"/>
      </dsp:txXfrm>
    </dsp:sp>
    <dsp:sp modelId="{FA813941-086E-45C8-BDA3-C805F77C04EA}">
      <dsp:nvSpPr>
        <dsp:cNvPr id="0" name=""/>
        <dsp:cNvSpPr/>
      </dsp:nvSpPr>
      <dsp:spPr>
        <a:xfrm>
          <a:off x="7622898" y="6099985"/>
          <a:ext cx="1374255" cy="849345"/>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CAD Engineer</a:t>
          </a:r>
        </a:p>
      </dsp:txBody>
      <dsp:txXfrm>
        <a:off x="7622898" y="6099985"/>
        <a:ext cx="1374255" cy="849345"/>
      </dsp:txXfrm>
    </dsp:sp>
    <dsp:sp modelId="{577107F5-1B5A-413F-AD08-29E0222300F8}">
      <dsp:nvSpPr>
        <dsp:cNvPr id="0" name=""/>
        <dsp:cNvSpPr/>
      </dsp:nvSpPr>
      <dsp:spPr>
        <a:xfrm>
          <a:off x="9249315" y="6099985"/>
          <a:ext cx="1200768" cy="600384"/>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Job Shop Machinist</a:t>
          </a:r>
        </a:p>
      </dsp:txBody>
      <dsp:txXfrm>
        <a:off x="9249315" y="6099985"/>
        <a:ext cx="1200768" cy="600384"/>
      </dsp:txXfrm>
    </dsp:sp>
    <dsp:sp modelId="{72D0C764-7266-4F7A-852C-E14081109DAB}">
      <dsp:nvSpPr>
        <dsp:cNvPr id="0" name=""/>
        <dsp:cNvSpPr/>
      </dsp:nvSpPr>
      <dsp:spPr>
        <a:xfrm>
          <a:off x="7622898" y="7201493"/>
          <a:ext cx="1200768" cy="600384"/>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Computer Aided Machinist</a:t>
          </a:r>
        </a:p>
      </dsp:txBody>
      <dsp:txXfrm>
        <a:off x="7622898" y="7201493"/>
        <a:ext cx="1200768" cy="600384"/>
      </dsp:txXfrm>
    </dsp:sp>
    <dsp:sp modelId="{FF195630-AB66-4658-A4DC-FCC1F9C911F0}">
      <dsp:nvSpPr>
        <dsp:cNvPr id="0" name=""/>
        <dsp:cNvSpPr/>
      </dsp:nvSpPr>
      <dsp:spPr>
        <a:xfrm>
          <a:off x="9249315" y="7201493"/>
          <a:ext cx="1200768" cy="600384"/>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Miscelleneous Service Personnel</a:t>
          </a:r>
        </a:p>
      </dsp:txBody>
      <dsp:txXfrm>
        <a:off x="9249315" y="7201493"/>
        <a:ext cx="1200768" cy="600384"/>
      </dsp:txXfrm>
    </dsp:sp>
    <dsp:sp modelId="{5CC2977C-E0B9-45DA-8467-2E2134C30FF7}">
      <dsp:nvSpPr>
        <dsp:cNvPr id="0" name=""/>
        <dsp:cNvSpPr/>
      </dsp:nvSpPr>
      <dsp:spPr>
        <a:xfrm>
          <a:off x="7622898" y="8054039"/>
          <a:ext cx="1200768" cy="600384"/>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General Mechanic</a:t>
          </a:r>
        </a:p>
      </dsp:txBody>
      <dsp:txXfrm>
        <a:off x="7622898" y="8054039"/>
        <a:ext cx="1200768" cy="600384"/>
      </dsp:txXfrm>
    </dsp:sp>
    <dsp:sp modelId="{42591F93-1699-46C3-8F3D-DFEF2D2A1DD4}">
      <dsp:nvSpPr>
        <dsp:cNvPr id="0" name=""/>
        <dsp:cNvSpPr/>
      </dsp:nvSpPr>
      <dsp:spPr>
        <a:xfrm>
          <a:off x="9249315" y="8054039"/>
          <a:ext cx="1200768" cy="600384"/>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Quality Control Inspector</a:t>
          </a:r>
        </a:p>
      </dsp:txBody>
      <dsp:txXfrm>
        <a:off x="9249315" y="8054039"/>
        <a:ext cx="1200768" cy="600384"/>
      </dsp:txXfrm>
    </dsp:sp>
    <dsp:sp modelId="{1E54B4CC-A68C-45BE-AD11-6AA516C3D92C}">
      <dsp:nvSpPr>
        <dsp:cNvPr id="0" name=""/>
        <dsp:cNvSpPr/>
      </dsp:nvSpPr>
      <dsp:spPr>
        <a:xfrm>
          <a:off x="7622898" y="8906584"/>
          <a:ext cx="1200768" cy="600384"/>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Process Technician</a:t>
          </a:r>
        </a:p>
      </dsp:txBody>
      <dsp:txXfrm>
        <a:off x="7622898" y="8906584"/>
        <a:ext cx="1200768" cy="600384"/>
      </dsp:txXfrm>
    </dsp:sp>
    <dsp:sp modelId="{28CEB212-7E77-435C-88DE-D634967D06FA}">
      <dsp:nvSpPr>
        <dsp:cNvPr id="0" name=""/>
        <dsp:cNvSpPr/>
      </dsp:nvSpPr>
      <dsp:spPr>
        <a:xfrm>
          <a:off x="9249315" y="8906584"/>
          <a:ext cx="1546830" cy="927053"/>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Precision Assembler/manufacturing technician</a:t>
          </a:r>
        </a:p>
      </dsp:txBody>
      <dsp:txXfrm>
        <a:off x="9249315" y="8906584"/>
        <a:ext cx="1546830" cy="927053"/>
      </dsp:txXfrm>
    </dsp:sp>
    <dsp:sp modelId="{FD33FE1A-0E52-4570-AEEE-358E062CB036}">
      <dsp:nvSpPr>
        <dsp:cNvPr id="0" name=""/>
        <dsp:cNvSpPr/>
      </dsp:nvSpPr>
      <dsp:spPr>
        <a:xfrm>
          <a:off x="7622898" y="10085800"/>
          <a:ext cx="1200768" cy="600384"/>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Computer Aided Testing Technician</a:t>
          </a:r>
        </a:p>
      </dsp:txBody>
      <dsp:txXfrm>
        <a:off x="7622898" y="10085800"/>
        <a:ext cx="1200768" cy="600384"/>
      </dsp:txXfrm>
    </dsp:sp>
    <dsp:sp modelId="{5F3087FF-FB5D-427A-825B-EAB1353AC598}">
      <dsp:nvSpPr>
        <dsp:cNvPr id="0" name=""/>
        <dsp:cNvSpPr/>
      </dsp:nvSpPr>
      <dsp:spPr>
        <a:xfrm>
          <a:off x="13617166" y="1820730"/>
          <a:ext cx="1874772" cy="370839"/>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Chief Engineer</a:t>
          </a:r>
        </a:p>
      </dsp:txBody>
      <dsp:txXfrm>
        <a:off x="13617166" y="1820730"/>
        <a:ext cx="1874772" cy="370839"/>
      </dsp:txXfrm>
    </dsp:sp>
    <dsp:sp modelId="{09B062AE-8802-4DB3-B177-01911F4E5001}">
      <dsp:nvSpPr>
        <dsp:cNvPr id="0" name=""/>
        <dsp:cNvSpPr/>
      </dsp:nvSpPr>
      <dsp:spPr>
        <a:xfrm>
          <a:off x="12214896" y="2558504"/>
          <a:ext cx="1773451" cy="1026171"/>
        </a:xfrm>
        <a:prstGeom prst="rect">
          <a:avLst/>
        </a:prstGeom>
        <a:solidFill>
          <a:srgbClr val="ED7D31">
            <a:lumMod val="40000"/>
            <a:lumOff val="60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u="sng" kern="1200">
              <a:solidFill>
                <a:schemeClr val="tx1"/>
              </a:solidFill>
              <a:latin typeface="Aptos" panose="020B0004020202020204" pitchFamily="34" charset="0"/>
            </a:rPr>
            <a:t>R&amp;D Staff</a:t>
          </a:r>
        </a:p>
        <a:p>
          <a:pPr marL="0" lvl="0" indent="0" algn="ctr" defTabSz="444500">
            <a:lnSpc>
              <a:spcPct val="90000"/>
            </a:lnSpc>
            <a:spcBef>
              <a:spcPct val="0"/>
            </a:spcBef>
            <a:spcAft>
              <a:spcPct val="35000"/>
            </a:spcAft>
            <a:buNone/>
          </a:pPr>
          <a:r>
            <a:rPr lang="en-US" sz="1000" b="1" kern="1200">
              <a:solidFill>
                <a:schemeClr val="tx1"/>
              </a:solidFill>
              <a:latin typeface="Aptos" panose="020B0004020202020204" pitchFamily="34" charset="0"/>
            </a:rPr>
            <a:t>Prototyping &amp; 5-Stroke Engine Development</a:t>
          </a:r>
        </a:p>
      </dsp:txBody>
      <dsp:txXfrm>
        <a:off x="12214896" y="2558504"/>
        <a:ext cx="1773451" cy="1026171"/>
      </dsp:txXfrm>
    </dsp:sp>
    <dsp:sp modelId="{F41015AD-F375-40A7-8094-DDA92C2189F5}">
      <dsp:nvSpPr>
        <dsp:cNvPr id="0" name=""/>
        <dsp:cNvSpPr/>
      </dsp:nvSpPr>
      <dsp:spPr>
        <a:xfrm>
          <a:off x="11774772" y="3836836"/>
          <a:ext cx="1200768" cy="600384"/>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CAD Engineer</a:t>
          </a:r>
        </a:p>
      </dsp:txBody>
      <dsp:txXfrm>
        <a:off x="11774772" y="3836836"/>
        <a:ext cx="1200768" cy="600384"/>
      </dsp:txXfrm>
    </dsp:sp>
    <dsp:sp modelId="{3FAD70C9-FD65-465A-BBE6-D36F235A27B8}">
      <dsp:nvSpPr>
        <dsp:cNvPr id="0" name=""/>
        <dsp:cNvSpPr/>
      </dsp:nvSpPr>
      <dsp:spPr>
        <a:xfrm>
          <a:off x="13227703" y="3836836"/>
          <a:ext cx="1200768" cy="600384"/>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General Mechanic</a:t>
          </a:r>
        </a:p>
      </dsp:txBody>
      <dsp:txXfrm>
        <a:off x="13227703" y="3836836"/>
        <a:ext cx="1200768" cy="600384"/>
      </dsp:txXfrm>
    </dsp:sp>
    <dsp:sp modelId="{17A8ACAC-278D-4CC5-82B8-CEE2D922340F}">
      <dsp:nvSpPr>
        <dsp:cNvPr id="0" name=""/>
        <dsp:cNvSpPr/>
      </dsp:nvSpPr>
      <dsp:spPr>
        <a:xfrm>
          <a:off x="11774772" y="4689382"/>
          <a:ext cx="1200768" cy="600384"/>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General Mechanic </a:t>
          </a:r>
        </a:p>
      </dsp:txBody>
      <dsp:txXfrm>
        <a:off x="11774772" y="4689382"/>
        <a:ext cx="1200768" cy="600384"/>
      </dsp:txXfrm>
    </dsp:sp>
    <dsp:sp modelId="{718B6586-A71F-4B72-86B1-DBD8FE932DA2}">
      <dsp:nvSpPr>
        <dsp:cNvPr id="0" name=""/>
        <dsp:cNvSpPr/>
      </dsp:nvSpPr>
      <dsp:spPr>
        <a:xfrm>
          <a:off x="13227703" y="4689382"/>
          <a:ext cx="1200768" cy="600384"/>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Power Plant Technician</a:t>
          </a:r>
        </a:p>
      </dsp:txBody>
      <dsp:txXfrm>
        <a:off x="13227703" y="4689382"/>
        <a:ext cx="1200768" cy="600384"/>
      </dsp:txXfrm>
    </dsp:sp>
    <dsp:sp modelId="{B96D179E-EF7F-44CD-9B87-869C0A8D1A8A}">
      <dsp:nvSpPr>
        <dsp:cNvPr id="0" name=""/>
        <dsp:cNvSpPr/>
      </dsp:nvSpPr>
      <dsp:spPr>
        <a:xfrm>
          <a:off x="11774772" y="5541928"/>
          <a:ext cx="1200768" cy="600384"/>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Mechanical Engineer</a:t>
          </a:r>
        </a:p>
      </dsp:txBody>
      <dsp:txXfrm>
        <a:off x="11774772" y="5541928"/>
        <a:ext cx="1200768" cy="600384"/>
      </dsp:txXfrm>
    </dsp:sp>
    <dsp:sp modelId="{BC6F6FE4-4400-484C-823D-FA42F132BB08}">
      <dsp:nvSpPr>
        <dsp:cNvPr id="0" name=""/>
        <dsp:cNvSpPr/>
      </dsp:nvSpPr>
      <dsp:spPr>
        <a:xfrm>
          <a:off x="13227703" y="5541928"/>
          <a:ext cx="1200768" cy="600384"/>
        </a:xfrm>
        <a:prstGeom prst="rect">
          <a:avLst/>
        </a:prstGeom>
        <a:solidFill>
          <a:srgbClr val="FFC000">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US" sz="1000" b="1" kern="1200">
              <a:solidFill>
                <a:sysClr val="window" lastClr="FFFFFF"/>
              </a:solidFill>
              <a:latin typeface="Aptos" panose="020B0004020202020204" pitchFamily="34" charset="0"/>
              <a:ea typeface="+mn-ea"/>
              <a:cs typeface="+mn-cs"/>
            </a:rPr>
            <a:t>Miscelleneous Service Personnel</a:t>
          </a:r>
        </a:p>
      </dsp:txBody>
      <dsp:txXfrm>
        <a:off x="13227703" y="5541928"/>
        <a:ext cx="1200768" cy="600384"/>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3" Type="http://schemas.openxmlformats.org/officeDocument/2006/relationships/hyperlink" Target="https://www.freedom-motors.com/brochures/latest/FM_Project_Plan%20_Ver_7.0.pdf" TargetMode="External"/><Relationship Id="rId18" Type="http://schemas.openxmlformats.org/officeDocument/2006/relationships/hyperlink" Target="#'Total Available Market'!A1"/><Relationship Id="rId26" Type="http://schemas.openxmlformats.org/officeDocument/2006/relationships/hyperlink" Target="#'Startup Phase (1-4 months)'!A1"/><Relationship Id="rId21" Type="http://schemas.openxmlformats.org/officeDocument/2006/relationships/hyperlink" Target="#'CoGS Analysis'!A1"/><Relationship Id="rId34" Type="http://schemas.openxmlformats.org/officeDocument/2006/relationships/hyperlink" Target="#'Detailed Calculations'!A1"/><Relationship Id="rId7" Type="http://schemas.openxmlformats.org/officeDocument/2006/relationships/image" Target="../media/image5.jpeg"/><Relationship Id="rId12" Type="http://schemas.openxmlformats.org/officeDocument/2006/relationships/hyperlink" Target="https://www.freedom-motors.com/brochures/Skycar_100X_Specifications.pdf" TargetMode="External"/><Relationship Id="rId17" Type="http://schemas.openxmlformats.org/officeDocument/2006/relationships/hyperlink" Target="#'Tech Advantage'!A1"/><Relationship Id="rId25" Type="http://schemas.openxmlformats.org/officeDocument/2006/relationships/hyperlink" Target="#'Manufacturing Plan'!A1"/><Relationship Id="rId33" Type="http://schemas.openxmlformats.org/officeDocument/2006/relationships/hyperlink" Target="#'P&amp;L'!A1"/><Relationship Id="rId38" Type="http://schemas.openxmlformats.org/officeDocument/2006/relationships/hyperlink" Target="#'IP Plan'!A1"/><Relationship Id="rId2" Type="http://schemas.openxmlformats.org/officeDocument/2006/relationships/hyperlink" Target="#'Organizational Chart'!A1"/><Relationship Id="rId16" Type="http://schemas.openxmlformats.org/officeDocument/2006/relationships/hyperlink" Target="#'Tech Features'!A1"/><Relationship Id="rId20" Type="http://schemas.openxmlformats.org/officeDocument/2006/relationships/hyperlink" Target="#'Competitive Analysis'!A1"/><Relationship Id="rId29" Type="http://schemas.openxmlformats.org/officeDocument/2006/relationships/hyperlink" Target="#'Beyond 12 months phase'!A1"/><Relationship Id="rId1" Type="http://schemas.openxmlformats.org/officeDocument/2006/relationships/hyperlink" Target="#'LOI &amp; Order Details'!A1"/><Relationship Id="rId6" Type="http://schemas.openxmlformats.org/officeDocument/2006/relationships/image" Target="../media/image4.png"/><Relationship Id="rId11" Type="http://schemas.openxmlformats.org/officeDocument/2006/relationships/hyperlink" Target="https://www.freedom-motors.com/brochures/The_Future_of_Advanced_Air_Mobility_Aircraft_January_2024.pdf" TargetMode="External"/><Relationship Id="rId24" Type="http://schemas.openxmlformats.org/officeDocument/2006/relationships/hyperlink" Target="#'Gantt Chart'!A1"/><Relationship Id="rId32" Type="http://schemas.openxmlformats.org/officeDocument/2006/relationships/hyperlink" Target="#'Burn Rate-Rev-Cash Bal Graph'!A1"/><Relationship Id="rId37" Type="http://schemas.openxmlformats.org/officeDocument/2006/relationships/image" Target="../media/image7.jpg"/><Relationship Id="rId5" Type="http://schemas.openxmlformats.org/officeDocument/2006/relationships/image" Target="../media/image3.png"/><Relationship Id="rId15" Type="http://schemas.openxmlformats.org/officeDocument/2006/relationships/hyperlink" Target="#'Job Survey'!A1"/><Relationship Id="rId23" Type="http://schemas.openxmlformats.org/officeDocument/2006/relationships/hyperlink" Target="#'Use of Funds'!A1"/><Relationship Id="rId28" Type="http://schemas.openxmlformats.org/officeDocument/2006/relationships/hyperlink" Target="#'Prod Ready phase (9-12 months)'!A1"/><Relationship Id="rId36" Type="http://schemas.openxmlformats.org/officeDocument/2006/relationships/hyperlink" Target="https://www.freedom-motors.com/brochures/Morgan-Stanley-URBAN_20210506_0000.pdf" TargetMode="External"/><Relationship Id="rId10" Type="http://schemas.openxmlformats.org/officeDocument/2006/relationships/hyperlink" Target="https://www.freedom-motors.com/brochures/Review_of_Selected_Advanced%20_Air_Mobility_Aircraft_January_2024.pdf" TargetMode="External"/><Relationship Id="rId19" Type="http://schemas.openxmlformats.org/officeDocument/2006/relationships/hyperlink" Target="#'Market Study'!A1"/><Relationship Id="rId31" Type="http://schemas.openxmlformats.org/officeDocument/2006/relationships/hyperlink" Target="#'Burn Rate Graph'!A1"/><Relationship Id="rId4" Type="http://schemas.openxmlformats.org/officeDocument/2006/relationships/image" Target="../media/image2.png"/><Relationship Id="rId9" Type="http://schemas.openxmlformats.org/officeDocument/2006/relationships/hyperlink" Target="https://www.freedom-motors.com/brochures/Paul_Moller_US_Patent_3614030.pdf" TargetMode="External"/><Relationship Id="rId14" Type="http://schemas.openxmlformats.org/officeDocument/2006/relationships/hyperlink" Target="https://www.freedom-motors.com/brochures/Economy_Toledo_Blade.pdf" TargetMode="External"/><Relationship Id="rId22" Type="http://schemas.openxmlformats.org/officeDocument/2006/relationships/hyperlink" Target="#'HR Plan'!A1"/><Relationship Id="rId27" Type="http://schemas.openxmlformats.org/officeDocument/2006/relationships/hyperlink" Target="#'Beta Phase (5-8 months)'!A1"/><Relationship Id="rId30" Type="http://schemas.openxmlformats.org/officeDocument/2006/relationships/hyperlink" Target="#'Burn Rate'!A1"/><Relationship Id="rId35" Type="http://schemas.openxmlformats.org/officeDocument/2006/relationships/hyperlink" Target="#'Payroll Calculations'!A1"/><Relationship Id="rId8" Type="http://schemas.openxmlformats.org/officeDocument/2006/relationships/image" Target="../media/image6.png"/><Relationship Id="rId3"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ntroduction!A1"/><Relationship Id="rId2" Type="http://schemas.openxmlformats.org/officeDocument/2006/relationships/image" Target="../media/image39.png"/><Relationship Id="rId1" Type="http://schemas.openxmlformats.org/officeDocument/2006/relationships/image" Target="../media/image38.jpg"/></Relationships>
</file>

<file path=xl/drawings/_rels/drawing11.xml.rels><?xml version="1.0" encoding="UTF-8" standalone="yes"?>
<Relationships xmlns="http://schemas.openxmlformats.org/package/2006/relationships"><Relationship Id="rId8" Type="http://schemas.openxmlformats.org/officeDocument/2006/relationships/hyperlink" Target="#Introduction!A1"/><Relationship Id="rId3" Type="http://schemas.openxmlformats.org/officeDocument/2006/relationships/image" Target="../media/image42.png"/><Relationship Id="rId7" Type="http://schemas.openxmlformats.org/officeDocument/2006/relationships/image" Target="../media/image46.png"/><Relationship Id="rId2" Type="http://schemas.openxmlformats.org/officeDocument/2006/relationships/image" Target="../media/image41.png"/><Relationship Id="rId1" Type="http://schemas.openxmlformats.org/officeDocument/2006/relationships/image" Target="../media/image40.png"/><Relationship Id="rId6" Type="http://schemas.openxmlformats.org/officeDocument/2006/relationships/image" Target="../media/image45.png"/><Relationship Id="rId5" Type="http://schemas.openxmlformats.org/officeDocument/2006/relationships/image" Target="../media/image44.png"/><Relationship Id="rId4" Type="http://schemas.openxmlformats.org/officeDocument/2006/relationships/image" Target="../media/image43.png"/></Relationships>
</file>

<file path=xl/drawings/_rels/drawing12.xml.rels><?xml version="1.0" encoding="UTF-8" standalone="yes"?>
<Relationships xmlns="http://schemas.openxmlformats.org/package/2006/relationships"><Relationship Id="rId1" Type="http://schemas.openxmlformats.org/officeDocument/2006/relationships/hyperlink" Target="#Introduction!A1"/></Relationships>
</file>

<file path=xl/drawings/_rels/drawing13.xml.rels><?xml version="1.0" encoding="UTF-8" standalone="yes"?>
<Relationships xmlns="http://schemas.openxmlformats.org/package/2006/relationships"><Relationship Id="rId1" Type="http://schemas.openxmlformats.org/officeDocument/2006/relationships/hyperlink" Target="#Introduction!A1"/></Relationships>
</file>

<file path=xl/drawings/_rels/drawing14.xml.rels><?xml version="1.0" encoding="UTF-8" standalone="yes"?>
<Relationships xmlns="http://schemas.openxmlformats.org/package/2006/relationships"><Relationship Id="rId1" Type="http://schemas.openxmlformats.org/officeDocument/2006/relationships/hyperlink" Target="#Introduction!A1"/></Relationships>
</file>

<file path=xl/drawings/_rels/drawing15.xml.rels><?xml version="1.0" encoding="UTF-8" standalone="yes"?>
<Relationships xmlns="http://schemas.openxmlformats.org/package/2006/relationships"><Relationship Id="rId3" Type="http://schemas.openxmlformats.org/officeDocument/2006/relationships/hyperlink" Target="#'Prod Ready phase (9-12 months)'!A1"/><Relationship Id="rId2" Type="http://schemas.openxmlformats.org/officeDocument/2006/relationships/hyperlink" Target="#'Beta Phase (5-8 months)'!A1"/><Relationship Id="rId1" Type="http://schemas.openxmlformats.org/officeDocument/2006/relationships/hyperlink" Target="#Introduction!A1"/><Relationship Id="rId5" Type="http://schemas.openxmlformats.org/officeDocument/2006/relationships/hyperlink" Target="#'Startup Phase (1-4 months)'!A1"/><Relationship Id="rId4" Type="http://schemas.openxmlformats.org/officeDocument/2006/relationships/hyperlink" Target="#'Beyond 12 months phase'!A1"/></Relationships>
</file>

<file path=xl/drawings/_rels/drawing16.xml.rels><?xml version="1.0" encoding="UTF-8" standalone="yes"?>
<Relationships xmlns="http://schemas.openxmlformats.org/package/2006/relationships"><Relationship Id="rId2" Type="http://schemas.openxmlformats.org/officeDocument/2006/relationships/hyperlink" Target="#'Manufacturing Plan'!A1"/><Relationship Id="rId1" Type="http://schemas.openxmlformats.org/officeDocument/2006/relationships/hyperlink" Target="#Introduction!A1"/></Relationships>
</file>

<file path=xl/drawings/_rels/drawing17.xml.rels><?xml version="1.0" encoding="UTF-8" standalone="yes"?>
<Relationships xmlns="http://schemas.openxmlformats.org/package/2006/relationships"><Relationship Id="rId3" Type="http://schemas.openxmlformats.org/officeDocument/2006/relationships/hyperlink" Target="https://comptekinc.com/assembly-line-statistical-process-control-spc-software-windows-part-manufacturing/" TargetMode="External"/><Relationship Id="rId2" Type="http://schemas.openxmlformats.org/officeDocument/2006/relationships/hyperlink" Target="#'Manufacturing Plan'!A1"/><Relationship Id="rId1" Type="http://schemas.openxmlformats.org/officeDocument/2006/relationships/hyperlink" Target="#Introduction!A1"/></Relationships>
</file>

<file path=xl/drawings/_rels/drawing18.xml.rels><?xml version="1.0" encoding="UTF-8" standalone="yes"?>
<Relationships xmlns="http://schemas.openxmlformats.org/package/2006/relationships"><Relationship Id="rId2" Type="http://schemas.openxmlformats.org/officeDocument/2006/relationships/hyperlink" Target="#'Manufacturing Plan'!A1"/><Relationship Id="rId1" Type="http://schemas.openxmlformats.org/officeDocument/2006/relationships/hyperlink" Target="#Introduction!A1"/></Relationships>
</file>

<file path=xl/drawings/_rels/drawing19.xml.rels><?xml version="1.0" encoding="UTF-8" standalone="yes"?>
<Relationships xmlns="http://schemas.openxmlformats.org/package/2006/relationships"><Relationship Id="rId2" Type="http://schemas.openxmlformats.org/officeDocument/2006/relationships/hyperlink" Target="#'Manufacturing Plan'!A1"/><Relationship Id="rId1" Type="http://schemas.openxmlformats.org/officeDocument/2006/relationships/hyperlink" Target="#Introduction!A1"/></Relationships>
</file>

<file path=xl/drawings/_rels/drawing2.xml.rels><?xml version="1.0" encoding="UTF-8" standalone="yes"?>
<Relationships xmlns="http://schemas.openxmlformats.org/package/2006/relationships"><Relationship Id="rId1" Type="http://schemas.openxmlformats.org/officeDocument/2006/relationships/hyperlink" Target="#Introduction!A1"/></Relationships>
</file>

<file path=xl/drawings/_rels/drawing20.xml.rels><?xml version="1.0" encoding="UTF-8" standalone="yes"?>
<Relationships xmlns="http://schemas.openxmlformats.org/package/2006/relationships"><Relationship Id="rId1" Type="http://schemas.openxmlformats.org/officeDocument/2006/relationships/hyperlink" Target="#Introduction!A1"/></Relationships>
</file>

<file path=xl/drawings/_rels/drawing21.xml.rels><?xml version="1.0" encoding="UTF-8" standalone="yes"?>
<Relationships xmlns="http://schemas.openxmlformats.org/package/2006/relationships"><Relationship Id="rId3" Type="http://schemas.openxmlformats.org/officeDocument/2006/relationships/hyperlink" Target="#Introduction!A1"/><Relationship Id="rId2" Type="http://schemas.openxmlformats.org/officeDocument/2006/relationships/chart" Target="../charts/chart2.xml"/><Relationship Id="rId1" Type="http://schemas.openxmlformats.org/officeDocument/2006/relationships/chart" Target="../charts/chart1.xml"/></Relationships>
</file>

<file path=xl/drawings/_rels/drawing22.xml.rels><?xml version="1.0" encoding="UTF-8" standalone="yes"?>
<Relationships xmlns="http://schemas.openxmlformats.org/package/2006/relationships"><Relationship Id="rId2" Type="http://schemas.openxmlformats.org/officeDocument/2006/relationships/hyperlink" Target="#Introduction!A1"/><Relationship Id="rId1" Type="http://schemas.openxmlformats.org/officeDocument/2006/relationships/chart" Target="../charts/chart3.xml"/></Relationships>
</file>

<file path=xl/drawings/_rels/drawing23.xml.rels><?xml version="1.0" encoding="UTF-8" standalone="yes"?>
<Relationships xmlns="http://schemas.openxmlformats.org/package/2006/relationships"><Relationship Id="rId1" Type="http://schemas.openxmlformats.org/officeDocument/2006/relationships/hyperlink" Target="#Introduction!A1"/></Relationships>
</file>

<file path=xl/drawings/_rels/drawing24.xml.rels><?xml version="1.0" encoding="UTF-8" standalone="yes"?>
<Relationships xmlns="http://schemas.openxmlformats.org/package/2006/relationships"><Relationship Id="rId1" Type="http://schemas.openxmlformats.org/officeDocument/2006/relationships/hyperlink" Target="#Introduction!A1"/></Relationships>
</file>

<file path=xl/drawings/_rels/drawing25.xml.rels><?xml version="1.0" encoding="UTF-8" standalone="yes"?>
<Relationships xmlns="http://schemas.openxmlformats.org/package/2006/relationships"><Relationship Id="rId2" Type="http://schemas.openxmlformats.org/officeDocument/2006/relationships/hyperlink" Target="https://www.kff.org/report-section/ehbs-2023-section-1-cost-of-health-insurance/" TargetMode="External"/><Relationship Id="rId1" Type="http://schemas.openxmlformats.org/officeDocument/2006/relationships/hyperlink" Target="#Introduction!A1"/></Relationships>
</file>

<file path=xl/drawings/_rels/drawing26.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image" Target="../media/image47.png"/></Relationships>
</file>

<file path=xl/drawings/_rels/drawing3.xml.rels><?xml version="1.0" encoding="UTF-8" standalone="yes"?>
<Relationships xmlns="http://schemas.openxmlformats.org/package/2006/relationships"><Relationship Id="rId8" Type="http://schemas.openxmlformats.org/officeDocument/2006/relationships/hyperlink" Target="https://www.salaryexplorer.com/average-salary-wage-comparison-california-s71" TargetMode="External"/><Relationship Id="rId3" Type="http://schemas.openxmlformats.org/officeDocument/2006/relationships/image" Target="../media/image9.png"/><Relationship Id="rId7" Type="http://schemas.openxmlformats.org/officeDocument/2006/relationships/hyperlink" Target="https://www.salaryexplorer.com/average-salary-wage-comparison-california-factory-and-manufacturing-s71f33" TargetMode="External"/><Relationship Id="rId2" Type="http://schemas.openxmlformats.org/officeDocument/2006/relationships/image" Target="../media/image8.png"/><Relationship Id="rId1" Type="http://schemas.openxmlformats.org/officeDocument/2006/relationships/hyperlink" Target="https://www.salaryexplorer.com/average-salary-wage-comparison-california-factory-and-manufacturing-s71f33#disabled" TargetMode="External"/><Relationship Id="rId6" Type="http://schemas.openxmlformats.org/officeDocument/2006/relationships/hyperlink" Target="https://www.salaryexplorer.com/average-salary-wage-comparison-united-states-c229" TargetMode="External"/><Relationship Id="rId5" Type="http://schemas.openxmlformats.org/officeDocument/2006/relationships/hyperlink" Target="https://www.salaryexplorer.com/average-salary-wage-comparison-united-states-factory-and-manufacturing-c229f33" TargetMode="External"/><Relationship Id="rId10" Type="http://schemas.openxmlformats.org/officeDocument/2006/relationships/hyperlink" Target="https://www.forbes.com/advisor/business-insurance/small-business-insurance-cost/" TargetMode="External"/><Relationship Id="rId4" Type="http://schemas.openxmlformats.org/officeDocument/2006/relationships/hyperlink" Target="#Introduction!A1"/><Relationship Id="rId9" Type="http://schemas.openxmlformats.org/officeDocument/2006/relationships/hyperlink" Target="https://www.kff.org/report-section/ehbs-2023-section-1-cost-of-health-insurance/" TargetMode="External"/></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hyperlink" Target="#Introduction!A1"/><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g"/><Relationship Id="rId1" Type="http://schemas.openxmlformats.org/officeDocument/2006/relationships/image" Target="../media/image10.png"/><Relationship Id="rId4" Type="http://schemas.openxmlformats.org/officeDocument/2006/relationships/hyperlink" Target="#Introduction!A1"/></Relationships>
</file>

<file path=xl/drawings/_rels/drawing6.xml.rels><?xml version="1.0" encoding="UTF-8" standalone="yes"?>
<Relationships xmlns="http://schemas.openxmlformats.org/package/2006/relationships"><Relationship Id="rId1" Type="http://schemas.openxmlformats.org/officeDocument/2006/relationships/hyperlink" Target="#Introduction!A1"/></Relationships>
</file>

<file path=xl/drawings/_rels/drawing7.xml.rels><?xml version="1.0" encoding="UTF-8" standalone="yes"?>
<Relationships xmlns="http://schemas.openxmlformats.org/package/2006/relationships"><Relationship Id="rId8" Type="http://schemas.openxmlformats.org/officeDocument/2006/relationships/hyperlink" Target="https://www.grandviewresearch.com/industry-analysis/internal-combustion-engine-market" TargetMode="External"/><Relationship Id="rId3" Type="http://schemas.openxmlformats.org/officeDocument/2006/relationships/hyperlink" Target="#Introduction!A1"/><Relationship Id="rId7" Type="http://schemas.openxmlformats.org/officeDocument/2006/relationships/hyperlink" Target="https://www.freedom-motors.com/brochures/AAM-Can-the-US-Afford-to-Lose-the-Race.pdf" TargetMode="External"/><Relationship Id="rId2" Type="http://schemas.openxmlformats.org/officeDocument/2006/relationships/image" Target="../media/image13.png"/><Relationship Id="rId1" Type="http://schemas.openxmlformats.org/officeDocument/2006/relationships/hyperlink" Target="https://www.freedom-motors.com/brochures/Morgan-Stanley-URBAN_20210506_0000.pdf" TargetMode="External"/><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8.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hyperlink" Target="https://www.mordorintelligence.com/industry-reports/small-gas-engine-market" TargetMode="External"/><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16.png"/><Relationship Id="rId17" Type="http://schemas.openxmlformats.org/officeDocument/2006/relationships/hyperlink" Target="https://www.freedom-motors.com/brochures/AAM-Can-the-US-Afford-to-Lose-the-Race.pdf" TargetMode="External"/><Relationship Id="rId2" Type="http://schemas.openxmlformats.org/officeDocument/2006/relationships/image" Target="../media/image18.png"/><Relationship Id="rId16" Type="http://schemas.openxmlformats.org/officeDocument/2006/relationships/hyperlink" Target="https://www.freedom-motors.com/brochures/Morgan-Stanley-URBAN_20210506_0000.pdf" TargetMode="External"/><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15.png"/><Relationship Id="rId5" Type="http://schemas.openxmlformats.org/officeDocument/2006/relationships/image" Target="../media/image21.png"/><Relationship Id="rId15" Type="http://schemas.openxmlformats.org/officeDocument/2006/relationships/hyperlink" Target="https://www.mordorintelligence.com/industry-reports/outboard-motor-market" TargetMode="External"/><Relationship Id="rId10" Type="http://schemas.openxmlformats.org/officeDocument/2006/relationships/image" Target="../media/image14.png"/><Relationship Id="rId4" Type="http://schemas.openxmlformats.org/officeDocument/2006/relationships/image" Target="../media/image20.png"/><Relationship Id="rId9" Type="http://schemas.openxmlformats.org/officeDocument/2006/relationships/hyperlink" Target="#Introduction!A1"/><Relationship Id="rId14" Type="http://schemas.openxmlformats.org/officeDocument/2006/relationships/hyperlink" Target="https://www.persistencemarketresearch.com/market-research/small-engine-market.asp" TargetMode="External"/></Relationships>
</file>

<file path=xl/drawings/_rels/drawing9.xml.rels><?xml version="1.0" encoding="UTF-8" standalone="yes"?>
<Relationships xmlns="http://schemas.openxmlformats.org/package/2006/relationships"><Relationship Id="rId8" Type="http://schemas.openxmlformats.org/officeDocument/2006/relationships/image" Target="../media/image31.jpeg"/><Relationship Id="rId13" Type="http://schemas.openxmlformats.org/officeDocument/2006/relationships/image" Target="../media/image36.png"/><Relationship Id="rId3" Type="http://schemas.openxmlformats.org/officeDocument/2006/relationships/image" Target="../media/image27.png"/><Relationship Id="rId7" Type="http://schemas.openxmlformats.org/officeDocument/2006/relationships/image" Target="../media/image30.jpeg"/><Relationship Id="rId12" Type="http://schemas.openxmlformats.org/officeDocument/2006/relationships/image" Target="../media/image35.png"/><Relationship Id="rId17" Type="http://schemas.openxmlformats.org/officeDocument/2006/relationships/hyperlink" Target="https://www.epropulsion.com/post/outboard-motor-price/" TargetMode="External"/><Relationship Id="rId2" Type="http://schemas.openxmlformats.org/officeDocument/2006/relationships/image" Target="../media/image26.jpg"/><Relationship Id="rId16" Type="http://schemas.openxmlformats.org/officeDocument/2006/relationships/hyperlink" Target="https://www.leadingedgeairfoils.com/rotax-engines-parts/new-rotax-engines.html" TargetMode="External"/><Relationship Id="rId1" Type="http://schemas.openxmlformats.org/officeDocument/2006/relationships/image" Target="../media/image25.jpg"/><Relationship Id="rId6" Type="http://schemas.openxmlformats.org/officeDocument/2006/relationships/image" Target="../media/image29.png"/><Relationship Id="rId11" Type="http://schemas.openxmlformats.org/officeDocument/2006/relationships/image" Target="../media/image34.png"/><Relationship Id="rId5" Type="http://schemas.openxmlformats.org/officeDocument/2006/relationships/image" Target="../media/image11.jpg"/><Relationship Id="rId15" Type="http://schemas.openxmlformats.org/officeDocument/2006/relationships/image" Target="../media/image37.png"/><Relationship Id="rId10" Type="http://schemas.openxmlformats.org/officeDocument/2006/relationships/image" Target="../media/image33.jpg"/><Relationship Id="rId4" Type="http://schemas.openxmlformats.org/officeDocument/2006/relationships/image" Target="../media/image28.jpg"/><Relationship Id="rId9" Type="http://schemas.openxmlformats.org/officeDocument/2006/relationships/image" Target="../media/image32.png"/><Relationship Id="rId14" Type="http://schemas.openxmlformats.org/officeDocument/2006/relationships/hyperlink" Target="#Introduction!A1"/></Relationships>
</file>

<file path=xl/drawings/drawing1.xml><?xml version="1.0" encoding="utf-8"?>
<xdr:wsDr xmlns:xdr="http://schemas.openxmlformats.org/drawingml/2006/spreadsheetDrawing" xmlns:a="http://schemas.openxmlformats.org/drawingml/2006/main">
  <xdr:twoCellAnchor>
    <xdr:from>
      <xdr:col>23</xdr:col>
      <xdr:colOff>470997</xdr:colOff>
      <xdr:row>2</xdr:row>
      <xdr:rowOff>44824</xdr:rowOff>
    </xdr:from>
    <xdr:to>
      <xdr:col>28</xdr:col>
      <xdr:colOff>122923</xdr:colOff>
      <xdr:row>3</xdr:row>
      <xdr:rowOff>100853</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14388703" y="515471"/>
          <a:ext cx="2677514" cy="257735"/>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LOI &amp; Order Details Tab</a:t>
          </a:r>
        </a:p>
      </xdr:txBody>
    </xdr:sp>
    <xdr:clientData/>
  </xdr:twoCellAnchor>
  <xdr:twoCellAnchor>
    <xdr:from>
      <xdr:col>23</xdr:col>
      <xdr:colOff>470998</xdr:colOff>
      <xdr:row>3</xdr:row>
      <xdr:rowOff>156882</xdr:rowOff>
    </xdr:from>
    <xdr:to>
      <xdr:col>28</xdr:col>
      <xdr:colOff>122924</xdr:colOff>
      <xdr:row>5</xdr:row>
      <xdr:rowOff>11205</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000-000003000000}"/>
            </a:ext>
          </a:extLst>
        </xdr:cNvPr>
        <xdr:cNvSpPr txBox="1"/>
      </xdr:nvSpPr>
      <xdr:spPr>
        <a:xfrm>
          <a:off x="14388704" y="829235"/>
          <a:ext cx="2677514" cy="257735"/>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Organizational Chart Tab</a:t>
          </a:r>
        </a:p>
      </xdr:txBody>
    </xdr:sp>
    <xdr:clientData/>
  </xdr:twoCellAnchor>
  <xdr:twoCellAnchor>
    <xdr:from>
      <xdr:col>5</xdr:col>
      <xdr:colOff>67235</xdr:colOff>
      <xdr:row>11</xdr:row>
      <xdr:rowOff>15127</xdr:rowOff>
    </xdr:from>
    <xdr:to>
      <xdr:col>13</xdr:col>
      <xdr:colOff>395656</xdr:colOff>
      <xdr:row>26</xdr:row>
      <xdr:rowOff>201706</xdr:rowOff>
    </xdr:to>
    <xdr:pic>
      <xdr:nvPicPr>
        <xdr:cNvPr id="6" name="Picture 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92823" y="2301127"/>
          <a:ext cx="5169362" cy="32121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582706</xdr:colOff>
      <xdr:row>56</xdr:row>
      <xdr:rowOff>190500</xdr:rowOff>
    </xdr:from>
    <xdr:to>
      <xdr:col>11</xdr:col>
      <xdr:colOff>209577</xdr:colOff>
      <xdr:row>72</xdr:row>
      <xdr:rowOff>163716</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87824" y="11687735"/>
          <a:ext cx="5678047" cy="3200510"/>
        </a:xfrm>
        <a:prstGeom prst="rect">
          <a:avLst/>
        </a:prstGeom>
        <a:ln>
          <a:noFill/>
        </a:ln>
        <a:effectLst/>
      </xdr:spPr>
    </xdr:pic>
    <xdr:clientData/>
  </xdr:twoCellAnchor>
  <xdr:twoCellAnchor editAs="oneCell">
    <xdr:from>
      <xdr:col>11</xdr:col>
      <xdr:colOff>446555</xdr:colOff>
      <xdr:row>56</xdr:row>
      <xdr:rowOff>179929</xdr:rowOff>
    </xdr:from>
    <xdr:to>
      <xdr:col>19</xdr:col>
      <xdr:colOff>493059</xdr:colOff>
      <xdr:row>72</xdr:row>
      <xdr:rowOff>153145</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102849" y="11677164"/>
          <a:ext cx="4887445" cy="3200510"/>
        </a:xfrm>
        <a:prstGeom prst="rect">
          <a:avLst/>
        </a:prstGeom>
        <a:ln>
          <a:noFill/>
        </a:ln>
        <a:effectLst/>
      </xdr:spPr>
    </xdr:pic>
    <xdr:clientData/>
  </xdr:twoCellAnchor>
  <xdr:twoCellAnchor>
    <xdr:from>
      <xdr:col>3</xdr:col>
      <xdr:colOff>492498</xdr:colOff>
      <xdr:row>72</xdr:row>
      <xdr:rowOff>156920</xdr:rowOff>
    </xdr:from>
    <xdr:to>
      <xdr:col>10</xdr:col>
      <xdr:colOff>543072</xdr:colOff>
      <xdr:row>74</xdr:row>
      <xdr:rowOff>18068</xdr:rowOff>
    </xdr:to>
    <xdr:sp macro="" textlink="">
      <xdr:nvSpPr>
        <xdr:cNvPr id="10" name="Text Box 2">
          <a:extLst>
            <a:ext uri="{FF2B5EF4-FFF2-40B4-BE49-F238E27FC236}">
              <a16:creationId xmlns:a16="http://schemas.microsoft.com/office/drawing/2014/main" id="{00000000-0008-0000-0000-00000A000000}"/>
            </a:ext>
          </a:extLst>
        </xdr:cNvPr>
        <xdr:cNvSpPr txBox="1">
          <a:spLocks noChangeArrowheads="1"/>
        </xdr:cNvSpPr>
      </xdr:nvSpPr>
      <xdr:spPr bwMode="auto">
        <a:xfrm>
          <a:off x="2307851" y="14881449"/>
          <a:ext cx="4286397" cy="264560"/>
        </a:xfrm>
        <a:prstGeom prst="rect">
          <a:avLst/>
        </a:prstGeom>
        <a:noFill/>
        <a:ln w="9525">
          <a:noFill/>
          <a:miter lim="800000"/>
          <a:headEnd/>
          <a:tailEnd/>
        </a:ln>
      </xdr:spPr>
      <xdr:txBody>
        <a:bodyPr rot="0" vert="horz" wrap="square" lIns="91440" tIns="45720" rIns="91440" bIns="45720" anchor="t" anchorCtr="0">
          <a:spAutoFit/>
        </a:bodyPr>
        <a:lstStyle/>
        <a:p>
          <a:pPr marL="0" marR="0">
            <a:spcBef>
              <a:spcPts val="0"/>
            </a:spcBef>
            <a:spcAft>
              <a:spcPts val="0"/>
            </a:spcAft>
          </a:pPr>
          <a:r>
            <a:rPr lang="en-US" sz="1100" b="1">
              <a:effectLst/>
              <a:latin typeface="Aptos" panose="020B0004020202020204" pitchFamily="34" charset="0"/>
              <a:ea typeface="Times New Roman" panose="02020603050405020304" pitchFamily="18" charset="0"/>
              <a:cs typeface="Arial" panose="020B0604020202020204" pitchFamily="34" charset="0"/>
            </a:rPr>
            <a:t>Moller Skycar® 400 on ground and in flight</a:t>
          </a:r>
          <a:endParaRPr lang="en-US" sz="1200">
            <a:effectLst/>
            <a:latin typeface="Times New Roman" panose="02020603050405020304" pitchFamily="18" charset="0"/>
            <a:ea typeface="Times New Roman" panose="02020603050405020304" pitchFamily="18" charset="0"/>
            <a:cs typeface="Arial" panose="020B0604020202020204" pitchFamily="34" charset="0"/>
          </a:endParaRPr>
        </a:p>
      </xdr:txBody>
    </xdr:sp>
    <xdr:clientData/>
  </xdr:twoCellAnchor>
  <xdr:twoCellAnchor>
    <xdr:from>
      <xdr:col>13</xdr:col>
      <xdr:colOff>96857</xdr:colOff>
      <xdr:row>72</xdr:row>
      <xdr:rowOff>156920</xdr:rowOff>
    </xdr:from>
    <xdr:to>
      <xdr:col>20</xdr:col>
      <xdr:colOff>161718</xdr:colOff>
      <xdr:row>74</xdr:row>
      <xdr:rowOff>18068</xdr:rowOff>
    </xdr:to>
    <xdr:sp macro="" textlink="">
      <xdr:nvSpPr>
        <xdr:cNvPr id="11" name="Text Box 2">
          <a:extLst>
            <a:ext uri="{FF2B5EF4-FFF2-40B4-BE49-F238E27FC236}">
              <a16:creationId xmlns:a16="http://schemas.microsoft.com/office/drawing/2014/main" id="{00000000-0008-0000-0000-00000B000000}"/>
            </a:ext>
          </a:extLst>
        </xdr:cNvPr>
        <xdr:cNvSpPr txBox="1">
          <a:spLocks noChangeArrowheads="1"/>
        </xdr:cNvSpPr>
      </xdr:nvSpPr>
      <xdr:spPr bwMode="auto">
        <a:xfrm>
          <a:off x="7963386" y="14881449"/>
          <a:ext cx="4300685" cy="264560"/>
        </a:xfrm>
        <a:prstGeom prst="rect">
          <a:avLst/>
        </a:prstGeom>
        <a:noFill/>
        <a:ln w="9525">
          <a:noFill/>
          <a:miter lim="800000"/>
          <a:headEnd/>
          <a:tailEnd/>
        </a:ln>
      </xdr:spPr>
      <xdr:txBody>
        <a:bodyPr rot="0" vert="horz" wrap="square" lIns="91440" tIns="45720" rIns="91440" bIns="45720" anchor="t" anchorCtr="0">
          <a:spAutoFit/>
        </a:bodyPr>
        <a:lstStyle/>
        <a:p>
          <a:pPr marL="0" marR="0">
            <a:spcBef>
              <a:spcPts val="0"/>
            </a:spcBef>
            <a:spcAft>
              <a:spcPts val="0"/>
            </a:spcAft>
          </a:pPr>
          <a:r>
            <a:rPr lang="en-US" sz="1100" b="1">
              <a:effectLst/>
              <a:latin typeface="Aptos" panose="020B0004020202020204" pitchFamily="34" charset="0"/>
              <a:ea typeface="Times New Roman" panose="02020603050405020304" pitchFamily="18" charset="0"/>
              <a:cs typeface="Arial" panose="020B0604020202020204" pitchFamily="34" charset="0"/>
            </a:rPr>
            <a:t>Moller Neuera® 200 on ground and in flight</a:t>
          </a:r>
          <a:endParaRPr lang="en-US" sz="1200">
            <a:effectLst/>
            <a:latin typeface="Times New Roman" panose="02020603050405020304" pitchFamily="18" charset="0"/>
            <a:ea typeface="Times New Roman" panose="02020603050405020304" pitchFamily="18" charset="0"/>
            <a:cs typeface="Arial" panose="020B0604020202020204" pitchFamily="34" charset="0"/>
          </a:endParaRPr>
        </a:p>
      </xdr:txBody>
    </xdr:sp>
    <xdr:clientData/>
  </xdr:twoCellAnchor>
  <xdr:twoCellAnchor editAs="oneCell">
    <xdr:from>
      <xdr:col>1</xdr:col>
      <xdr:colOff>142875</xdr:colOff>
      <xdr:row>93</xdr:row>
      <xdr:rowOff>201705</xdr:rowOff>
    </xdr:from>
    <xdr:to>
      <xdr:col>9</xdr:col>
      <xdr:colOff>274819</xdr:colOff>
      <xdr:row>110</xdr:row>
      <xdr:rowOff>87962</xdr:rowOff>
    </xdr:to>
    <xdr:pic>
      <xdr:nvPicPr>
        <xdr:cNvPr id="12" name="Picture 11" descr="A machine on a cart&#10;&#10;Description automatically generated">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47993" y="19229293"/>
          <a:ext cx="4972885" cy="3315257"/>
        </a:xfrm>
        <a:prstGeom prst="rect">
          <a:avLst/>
        </a:prstGeom>
        <a:ln>
          <a:noFill/>
        </a:ln>
        <a:effectLst/>
      </xdr:spPr>
    </xdr:pic>
    <xdr:clientData/>
  </xdr:twoCellAnchor>
  <xdr:twoCellAnchor editAs="oneCell">
    <xdr:from>
      <xdr:col>14</xdr:col>
      <xdr:colOff>71157</xdr:colOff>
      <xdr:row>94</xdr:row>
      <xdr:rowOff>22410</xdr:rowOff>
    </xdr:from>
    <xdr:to>
      <xdr:col>21</xdr:col>
      <xdr:colOff>254816</xdr:colOff>
      <xdr:row>110</xdr:row>
      <xdr:rowOff>110373</xdr:rowOff>
    </xdr:to>
    <xdr:pic>
      <xdr:nvPicPr>
        <xdr:cNvPr id="13" name="Picture 12" descr="A car with the hood open&#10;&#10;Description automatically generated">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542804" y="19251704"/>
          <a:ext cx="4419483" cy="3315257"/>
        </a:xfrm>
        <a:prstGeom prst="rect">
          <a:avLst/>
        </a:prstGeom>
        <a:ln>
          <a:noFill/>
        </a:ln>
        <a:effectLst/>
      </xdr:spPr>
    </xdr:pic>
    <xdr:clientData/>
  </xdr:twoCellAnchor>
  <xdr:twoCellAnchor editAs="oneCell">
    <xdr:from>
      <xdr:col>9</xdr:col>
      <xdr:colOff>493620</xdr:colOff>
      <xdr:row>94</xdr:row>
      <xdr:rowOff>100853</xdr:rowOff>
    </xdr:from>
    <xdr:to>
      <xdr:col>13</xdr:col>
      <xdr:colOff>348680</xdr:colOff>
      <xdr:row>110</xdr:row>
      <xdr:rowOff>85617</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939679" y="19330147"/>
          <a:ext cx="2275530" cy="3212058"/>
        </a:xfrm>
        <a:prstGeom prst="rect">
          <a:avLst/>
        </a:prstGeom>
        <a:ln>
          <a:noFill/>
        </a:ln>
        <a:effectLst/>
      </xdr:spPr>
    </xdr:pic>
    <xdr:clientData/>
  </xdr:twoCellAnchor>
  <xdr:twoCellAnchor>
    <xdr:from>
      <xdr:col>1</xdr:col>
      <xdr:colOff>0</xdr:colOff>
      <xdr:row>110</xdr:row>
      <xdr:rowOff>80196</xdr:rowOff>
    </xdr:from>
    <xdr:to>
      <xdr:col>9</xdr:col>
      <xdr:colOff>422191</xdr:colOff>
      <xdr:row>112</xdr:row>
      <xdr:rowOff>113570</xdr:rowOff>
    </xdr:to>
    <xdr:sp macro="" textlink="">
      <xdr:nvSpPr>
        <xdr:cNvPr id="15" name="Text Box 2">
          <a:extLst>
            <a:ext uri="{FF2B5EF4-FFF2-40B4-BE49-F238E27FC236}">
              <a16:creationId xmlns:a16="http://schemas.microsoft.com/office/drawing/2014/main" id="{00000000-0008-0000-0000-00000F000000}"/>
            </a:ext>
          </a:extLst>
        </xdr:cNvPr>
        <xdr:cNvSpPr txBox="1">
          <a:spLocks noChangeArrowheads="1"/>
        </xdr:cNvSpPr>
      </xdr:nvSpPr>
      <xdr:spPr bwMode="auto">
        <a:xfrm>
          <a:off x="605118" y="22536784"/>
          <a:ext cx="5263132" cy="436786"/>
        </a:xfrm>
        <a:prstGeom prst="rect">
          <a:avLst/>
        </a:prstGeom>
        <a:noFill/>
        <a:ln w="9525">
          <a:noFill/>
          <a:miter lim="800000"/>
          <a:headEnd/>
          <a:tailEnd/>
        </a:ln>
      </xdr:spPr>
      <xdr:txBody>
        <a:bodyPr rot="0" vert="horz" wrap="square" lIns="91440" tIns="45720" rIns="91440" bIns="45720" anchor="t" anchorCtr="0">
          <a:spAutoFit/>
        </a:bodyPr>
        <a:lstStyle/>
        <a:p>
          <a:pPr marL="0" marR="0" algn="ctr">
            <a:spcBef>
              <a:spcPts val="0"/>
            </a:spcBef>
            <a:spcAft>
              <a:spcPts val="0"/>
            </a:spcAft>
          </a:pPr>
          <a:r>
            <a:rPr lang="en-US" sz="1100" b="1">
              <a:effectLst/>
              <a:latin typeface="Aptos" panose="020B0004020202020204" pitchFamily="34" charset="0"/>
              <a:ea typeface="Times New Roman" panose="02020603050405020304" pitchFamily="18" charset="0"/>
              <a:cs typeface="Arial" panose="020B0604020202020204" pitchFamily="34" charset="0"/>
            </a:rPr>
            <a:t>150cc Rotapower® engine genset weighs 65 lbs. and produces 15 Kw compared to Gillette genset weighs 395 lbs. and produces 13.5 Kw</a:t>
          </a:r>
          <a:endParaRPr lang="en-US" sz="1200">
            <a:effectLst/>
            <a:latin typeface="Times New Roman" panose="02020603050405020304" pitchFamily="18" charset="0"/>
            <a:ea typeface="Times New Roman" panose="02020603050405020304" pitchFamily="18" charset="0"/>
            <a:cs typeface="Arial" panose="020B0604020202020204" pitchFamily="34" charset="0"/>
          </a:endParaRPr>
        </a:p>
      </xdr:txBody>
    </xdr:sp>
    <xdr:clientData/>
  </xdr:twoCellAnchor>
  <xdr:twoCellAnchor>
    <xdr:from>
      <xdr:col>9</xdr:col>
      <xdr:colOff>271182</xdr:colOff>
      <xdr:row>110</xdr:row>
      <xdr:rowOff>85239</xdr:rowOff>
    </xdr:from>
    <xdr:to>
      <xdr:col>14</xdr:col>
      <xdr:colOff>22412</xdr:colOff>
      <xdr:row>113</xdr:row>
      <xdr:rowOff>89134</xdr:rowOff>
    </xdr:to>
    <xdr:sp macro="" textlink="">
      <xdr:nvSpPr>
        <xdr:cNvPr id="16" name="Text Box 2">
          <a:extLst>
            <a:ext uri="{FF2B5EF4-FFF2-40B4-BE49-F238E27FC236}">
              <a16:creationId xmlns:a16="http://schemas.microsoft.com/office/drawing/2014/main" id="{00000000-0008-0000-0000-000010000000}"/>
            </a:ext>
          </a:extLst>
        </xdr:cNvPr>
        <xdr:cNvSpPr txBox="1">
          <a:spLocks noChangeArrowheads="1"/>
        </xdr:cNvSpPr>
      </xdr:nvSpPr>
      <xdr:spPr bwMode="auto">
        <a:xfrm>
          <a:off x="5717241" y="22541827"/>
          <a:ext cx="2776818" cy="609013"/>
        </a:xfrm>
        <a:prstGeom prst="rect">
          <a:avLst/>
        </a:prstGeom>
        <a:noFill/>
        <a:ln w="9525">
          <a:noFill/>
          <a:miter lim="800000"/>
          <a:headEnd/>
          <a:tailEnd/>
        </a:ln>
      </xdr:spPr>
      <xdr:txBody>
        <a:bodyPr rot="0" vert="horz" wrap="square" lIns="91440" tIns="45720" rIns="91440" bIns="45720" anchor="t" anchorCtr="0">
          <a:spAutoFit/>
        </a:bodyPr>
        <a:lstStyle/>
        <a:p>
          <a:pPr marL="0" marR="0" algn="ctr">
            <a:spcBef>
              <a:spcPts val="0"/>
            </a:spcBef>
            <a:spcAft>
              <a:spcPts val="0"/>
            </a:spcAft>
          </a:pPr>
          <a:r>
            <a:rPr lang="en-US" sz="1100" b="1">
              <a:effectLst/>
              <a:latin typeface="Aptos" panose="020B0004020202020204" pitchFamily="34" charset="0"/>
              <a:ea typeface="Times New Roman" panose="02020603050405020304" pitchFamily="18" charset="0"/>
              <a:cs typeface="Arial" panose="020B0604020202020204" pitchFamily="34" charset="0"/>
            </a:rPr>
            <a:t>Airforce Drone with 530cc Rotapower® engine weighs 110 lbs. with payload of 95 lbs. and 125 miles range</a:t>
          </a:r>
          <a:endParaRPr lang="en-US" sz="1200">
            <a:effectLst/>
            <a:latin typeface="Times New Roman" panose="02020603050405020304" pitchFamily="18" charset="0"/>
            <a:ea typeface="Times New Roman" panose="02020603050405020304" pitchFamily="18" charset="0"/>
            <a:cs typeface="Arial" panose="020B0604020202020204" pitchFamily="34" charset="0"/>
          </a:endParaRPr>
        </a:p>
      </xdr:txBody>
    </xdr:sp>
    <xdr:clientData/>
  </xdr:twoCellAnchor>
  <xdr:twoCellAnchor>
    <xdr:from>
      <xdr:col>14</xdr:col>
      <xdr:colOff>25212</xdr:colOff>
      <xdr:row>110</xdr:row>
      <xdr:rowOff>119977</xdr:rowOff>
    </xdr:from>
    <xdr:to>
      <xdr:col>21</xdr:col>
      <xdr:colOff>324969</xdr:colOff>
      <xdr:row>112</xdr:row>
      <xdr:rowOff>153351</xdr:rowOff>
    </xdr:to>
    <xdr:sp macro="" textlink="">
      <xdr:nvSpPr>
        <xdr:cNvPr id="17" name="Text Box 2">
          <a:extLst>
            <a:ext uri="{FF2B5EF4-FFF2-40B4-BE49-F238E27FC236}">
              <a16:creationId xmlns:a16="http://schemas.microsoft.com/office/drawing/2014/main" id="{00000000-0008-0000-0000-000011000000}"/>
            </a:ext>
          </a:extLst>
        </xdr:cNvPr>
        <xdr:cNvSpPr txBox="1">
          <a:spLocks noChangeArrowheads="1"/>
        </xdr:cNvSpPr>
      </xdr:nvSpPr>
      <xdr:spPr bwMode="auto">
        <a:xfrm>
          <a:off x="8496859" y="22576565"/>
          <a:ext cx="4535581" cy="436786"/>
        </a:xfrm>
        <a:prstGeom prst="rect">
          <a:avLst/>
        </a:prstGeom>
        <a:noFill/>
        <a:ln w="9525">
          <a:noFill/>
          <a:miter lim="800000"/>
          <a:headEnd/>
          <a:tailEnd/>
        </a:ln>
      </xdr:spPr>
      <xdr:txBody>
        <a:bodyPr rot="0" vert="horz" wrap="square" lIns="91440" tIns="45720" rIns="91440" bIns="45720" anchor="t" anchorCtr="0">
          <a:spAutoFit/>
        </a:bodyPr>
        <a:lstStyle/>
        <a:p>
          <a:pPr marL="0" marR="0" algn="ctr">
            <a:spcBef>
              <a:spcPts val="0"/>
            </a:spcBef>
            <a:spcAft>
              <a:spcPts val="0"/>
            </a:spcAft>
          </a:pPr>
          <a:r>
            <a:rPr lang="en-US" sz="1100" b="1">
              <a:effectLst/>
              <a:latin typeface="Aptos" panose="020B0004020202020204" pitchFamily="34" charset="0"/>
              <a:ea typeface="Times New Roman" panose="02020603050405020304" pitchFamily="18" charset="0"/>
              <a:cs typeface="Arial" panose="020B0604020202020204" pitchFamily="34" charset="0"/>
            </a:rPr>
            <a:t>Hybrid car with 530cc Rotapower® engine in 0.94 Ft</a:t>
          </a:r>
          <a:r>
            <a:rPr lang="en-US" sz="1100" b="1" baseline="30000">
              <a:effectLst/>
              <a:latin typeface="Aptos" panose="020B0004020202020204" pitchFamily="34" charset="0"/>
              <a:ea typeface="Times New Roman" panose="02020603050405020304" pitchFamily="18" charset="0"/>
              <a:cs typeface="Arial" panose="020B0604020202020204" pitchFamily="34" charset="0"/>
            </a:rPr>
            <a:t>3 </a:t>
          </a:r>
          <a:r>
            <a:rPr lang="en-US" sz="1100" b="1">
              <a:effectLst/>
              <a:latin typeface="Aptos" panose="020B0004020202020204" pitchFamily="34" charset="0"/>
              <a:ea typeface="Times New Roman" panose="02020603050405020304" pitchFamily="18" charset="0"/>
              <a:cs typeface="Arial" panose="020B0604020202020204" pitchFamily="34" charset="0"/>
            </a:rPr>
            <a:t>lead lined enclosure producing 93 Kw</a:t>
          </a:r>
          <a:endParaRPr lang="en-US" sz="1200">
            <a:effectLst/>
            <a:latin typeface="Times New Roman" panose="02020603050405020304" pitchFamily="18" charset="0"/>
            <a:ea typeface="Times New Roman" panose="02020603050405020304" pitchFamily="18" charset="0"/>
            <a:cs typeface="Arial" panose="020B0604020202020204" pitchFamily="34" charset="0"/>
          </a:endParaRPr>
        </a:p>
      </xdr:txBody>
    </xdr:sp>
    <xdr:clientData/>
  </xdr:twoCellAnchor>
  <xdr:twoCellAnchor editAs="oneCell">
    <xdr:from>
      <xdr:col>8</xdr:col>
      <xdr:colOff>302559</xdr:colOff>
      <xdr:row>27</xdr:row>
      <xdr:rowOff>190501</xdr:rowOff>
    </xdr:from>
    <xdr:to>
      <xdr:col>10</xdr:col>
      <xdr:colOff>44824</xdr:colOff>
      <xdr:row>29</xdr:row>
      <xdr:rowOff>33618</xdr:rowOff>
    </xdr:to>
    <xdr:sp macro="" textlink="">
      <xdr:nvSpPr>
        <xdr:cNvPr id="18" name="TextBox 17">
          <a:hlinkClick xmlns:r="http://schemas.openxmlformats.org/officeDocument/2006/relationships" r:id="rId9"/>
          <a:extLst>
            <a:ext uri="{FF2B5EF4-FFF2-40B4-BE49-F238E27FC236}">
              <a16:creationId xmlns:a16="http://schemas.microsoft.com/office/drawing/2014/main" id="{00000000-0008-0000-0000-000012000000}"/>
            </a:ext>
          </a:extLst>
        </xdr:cNvPr>
        <xdr:cNvSpPr txBox="1"/>
      </xdr:nvSpPr>
      <xdr:spPr>
        <a:xfrm>
          <a:off x="5143500" y="5771030"/>
          <a:ext cx="952500" cy="24652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latin typeface="Aptos" panose="020B0004020202020204" pitchFamily="34" charset="0"/>
            </a:rPr>
            <a:t>[</a:t>
          </a:r>
          <a:r>
            <a:rPr lang="en-US" sz="1200">
              <a:solidFill>
                <a:srgbClr val="0070C0"/>
              </a:solidFill>
              <a:latin typeface="Aptos" panose="020B0004020202020204" pitchFamily="34" charset="0"/>
            </a:rPr>
            <a:t>3614030</a:t>
          </a:r>
          <a:r>
            <a:rPr lang="en-US" sz="1200">
              <a:latin typeface="Aptos" panose="020B0004020202020204" pitchFamily="34" charset="0"/>
            </a:rPr>
            <a:t>].</a:t>
          </a:r>
        </a:p>
      </xdr:txBody>
    </xdr:sp>
    <xdr:clientData/>
  </xdr:twoCellAnchor>
  <xdr:twoCellAnchor editAs="oneCell">
    <xdr:from>
      <xdr:col>6</xdr:col>
      <xdr:colOff>134468</xdr:colOff>
      <xdr:row>31</xdr:row>
      <xdr:rowOff>168087</xdr:rowOff>
    </xdr:from>
    <xdr:to>
      <xdr:col>12</xdr:col>
      <xdr:colOff>33615</xdr:colOff>
      <xdr:row>33</xdr:row>
      <xdr:rowOff>78440</xdr:rowOff>
    </xdr:to>
    <xdr:sp macro="" textlink="">
      <xdr:nvSpPr>
        <xdr:cNvPr id="19" name="TextBox 18">
          <a:hlinkClick xmlns:r="http://schemas.openxmlformats.org/officeDocument/2006/relationships" r:id="rId10"/>
          <a:extLst>
            <a:ext uri="{FF2B5EF4-FFF2-40B4-BE49-F238E27FC236}">
              <a16:creationId xmlns:a16="http://schemas.microsoft.com/office/drawing/2014/main" id="{00000000-0008-0000-0000-000013000000}"/>
            </a:ext>
          </a:extLst>
        </xdr:cNvPr>
        <xdr:cNvSpPr txBox="1"/>
      </xdr:nvSpPr>
      <xdr:spPr>
        <a:xfrm>
          <a:off x="3765174" y="6555440"/>
          <a:ext cx="3529853" cy="31376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latin typeface="Aptos" panose="020B0004020202020204" pitchFamily="34" charset="0"/>
            </a:rPr>
            <a:t>[</a:t>
          </a:r>
          <a:r>
            <a:rPr lang="en-US" sz="1200">
              <a:solidFill>
                <a:srgbClr val="0070C0"/>
              </a:solidFill>
              <a:latin typeface="Aptos" panose="020B0004020202020204" pitchFamily="34" charset="0"/>
            </a:rPr>
            <a:t>Review of Selected Advanced Air Mobility Aircraft</a:t>
          </a:r>
          <a:r>
            <a:rPr lang="en-US" sz="1200">
              <a:latin typeface="Aptos" panose="020B0004020202020204" pitchFamily="34" charset="0"/>
            </a:rPr>
            <a:t>].</a:t>
          </a:r>
        </a:p>
      </xdr:txBody>
    </xdr:sp>
    <xdr:clientData/>
  </xdr:twoCellAnchor>
  <xdr:oneCellAnchor>
    <xdr:from>
      <xdr:col>4</xdr:col>
      <xdr:colOff>593910</xdr:colOff>
      <xdr:row>79</xdr:row>
      <xdr:rowOff>168088</xdr:rowOff>
    </xdr:from>
    <xdr:ext cx="3227296" cy="313765"/>
    <xdr:sp macro="" textlink="">
      <xdr:nvSpPr>
        <xdr:cNvPr id="20" name="TextBox 19">
          <a:hlinkClick xmlns:r="http://schemas.openxmlformats.org/officeDocument/2006/relationships" r:id="rId11"/>
          <a:extLst>
            <a:ext uri="{FF2B5EF4-FFF2-40B4-BE49-F238E27FC236}">
              <a16:creationId xmlns:a16="http://schemas.microsoft.com/office/drawing/2014/main" id="{00000000-0008-0000-0000-000014000000}"/>
            </a:ext>
          </a:extLst>
        </xdr:cNvPr>
        <xdr:cNvSpPr txBox="1"/>
      </xdr:nvSpPr>
      <xdr:spPr>
        <a:xfrm>
          <a:off x="3014381" y="16304559"/>
          <a:ext cx="3227296" cy="31376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latin typeface="Aptos" panose="020B0004020202020204" pitchFamily="34" charset="0"/>
            </a:rPr>
            <a:t>[</a:t>
          </a:r>
          <a:r>
            <a:rPr lang="en-US" sz="1200">
              <a:solidFill>
                <a:srgbClr val="0070C0"/>
              </a:solidFill>
              <a:latin typeface="Aptos" panose="020B0004020202020204" pitchFamily="34" charset="0"/>
            </a:rPr>
            <a:t>The Future of Advanced Air Mobility Aircraft</a:t>
          </a:r>
          <a:r>
            <a:rPr lang="en-US" sz="1200">
              <a:latin typeface="Aptos" panose="020B0004020202020204" pitchFamily="34" charset="0"/>
            </a:rPr>
            <a:t>].</a:t>
          </a:r>
        </a:p>
      </xdr:txBody>
    </xdr:sp>
    <xdr:clientData/>
  </xdr:oneCellAnchor>
  <xdr:oneCellAnchor>
    <xdr:from>
      <xdr:col>15</xdr:col>
      <xdr:colOff>605113</xdr:colOff>
      <xdr:row>81</xdr:row>
      <xdr:rowOff>156882</xdr:rowOff>
    </xdr:from>
    <xdr:ext cx="1277471" cy="313765"/>
    <xdr:sp macro="" textlink="">
      <xdr:nvSpPr>
        <xdr:cNvPr id="21" name="TextBox 20">
          <a:hlinkClick xmlns:r="http://schemas.openxmlformats.org/officeDocument/2006/relationships" r:id="rId12"/>
          <a:extLst>
            <a:ext uri="{FF2B5EF4-FFF2-40B4-BE49-F238E27FC236}">
              <a16:creationId xmlns:a16="http://schemas.microsoft.com/office/drawing/2014/main" id="{00000000-0008-0000-0000-000015000000}"/>
            </a:ext>
          </a:extLst>
        </xdr:cNvPr>
        <xdr:cNvSpPr txBox="1"/>
      </xdr:nvSpPr>
      <xdr:spPr>
        <a:xfrm>
          <a:off x="9681878" y="16696764"/>
          <a:ext cx="1277471" cy="31376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latin typeface="Aptos" panose="020B0004020202020204" pitchFamily="34" charset="0"/>
            </a:rPr>
            <a:t>[</a:t>
          </a:r>
          <a:r>
            <a:rPr lang="en-US" sz="1200">
              <a:solidFill>
                <a:srgbClr val="0070C0"/>
              </a:solidFill>
              <a:latin typeface="Aptos" panose="020B0004020202020204" pitchFamily="34" charset="0"/>
            </a:rPr>
            <a:t>Specifications</a:t>
          </a:r>
          <a:r>
            <a:rPr lang="en-US" sz="1200">
              <a:latin typeface="Aptos" panose="020B0004020202020204" pitchFamily="34" charset="0"/>
            </a:rPr>
            <a:t>]</a:t>
          </a:r>
        </a:p>
      </xdr:txBody>
    </xdr:sp>
    <xdr:clientData/>
  </xdr:oneCellAnchor>
  <xdr:oneCellAnchor>
    <xdr:from>
      <xdr:col>6</xdr:col>
      <xdr:colOff>481849</xdr:colOff>
      <xdr:row>113</xdr:row>
      <xdr:rowOff>168088</xdr:rowOff>
    </xdr:from>
    <xdr:ext cx="2454089" cy="313765"/>
    <xdr:sp macro="" textlink="">
      <xdr:nvSpPr>
        <xdr:cNvPr id="22" name="TextBox 21">
          <a:hlinkClick xmlns:r="http://schemas.openxmlformats.org/officeDocument/2006/relationships" r:id="rId13"/>
          <a:extLst>
            <a:ext uri="{FF2B5EF4-FFF2-40B4-BE49-F238E27FC236}">
              <a16:creationId xmlns:a16="http://schemas.microsoft.com/office/drawing/2014/main" id="{00000000-0008-0000-0000-000016000000}"/>
            </a:ext>
          </a:extLst>
        </xdr:cNvPr>
        <xdr:cNvSpPr txBox="1"/>
      </xdr:nvSpPr>
      <xdr:spPr>
        <a:xfrm>
          <a:off x="4112555" y="23229794"/>
          <a:ext cx="2454089" cy="31376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latin typeface="Aptos" panose="020B0004020202020204" pitchFamily="34" charset="0"/>
            </a:rPr>
            <a:t>[</a:t>
          </a:r>
          <a:r>
            <a:rPr lang="en-US" sz="1200">
              <a:solidFill>
                <a:srgbClr val="0070C0"/>
              </a:solidFill>
              <a:latin typeface="Aptos" panose="020B0004020202020204" pitchFamily="34" charset="0"/>
            </a:rPr>
            <a:t>FM Comprehensive Project Plan</a:t>
          </a:r>
          <a:r>
            <a:rPr lang="en-US" sz="1200">
              <a:latin typeface="Aptos" panose="020B0004020202020204" pitchFamily="34" charset="0"/>
            </a:rPr>
            <a:t>]</a:t>
          </a:r>
        </a:p>
      </xdr:txBody>
    </xdr:sp>
    <xdr:clientData/>
  </xdr:oneCellAnchor>
  <xdr:oneCellAnchor>
    <xdr:from>
      <xdr:col>6</xdr:col>
      <xdr:colOff>123264</xdr:colOff>
      <xdr:row>126</xdr:row>
      <xdr:rowOff>168089</xdr:rowOff>
    </xdr:from>
    <xdr:ext cx="1927412" cy="313765"/>
    <xdr:sp macro="" textlink="">
      <xdr:nvSpPr>
        <xdr:cNvPr id="23" name="TextBox 22">
          <a:hlinkClick xmlns:r="http://schemas.openxmlformats.org/officeDocument/2006/relationships" r:id="rId14"/>
          <a:extLst>
            <a:ext uri="{FF2B5EF4-FFF2-40B4-BE49-F238E27FC236}">
              <a16:creationId xmlns:a16="http://schemas.microsoft.com/office/drawing/2014/main" id="{00000000-0008-0000-0000-000017000000}"/>
            </a:ext>
          </a:extLst>
        </xdr:cNvPr>
        <xdr:cNvSpPr txBox="1"/>
      </xdr:nvSpPr>
      <xdr:spPr>
        <a:xfrm>
          <a:off x="3753970" y="25851971"/>
          <a:ext cx="1927412" cy="31376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latin typeface="Aptos" panose="020B0004020202020204" pitchFamily="34" charset="0"/>
            </a:rPr>
            <a:t>[</a:t>
          </a:r>
          <a:r>
            <a:rPr lang="en-US" sz="1200">
              <a:solidFill>
                <a:srgbClr val="0070C0"/>
              </a:solidFill>
              <a:latin typeface="Aptos" panose="020B0004020202020204" pitchFamily="34" charset="0"/>
            </a:rPr>
            <a:t>The Toledo Blade Article</a:t>
          </a:r>
          <a:r>
            <a:rPr lang="en-US" sz="1200">
              <a:latin typeface="Aptos" panose="020B0004020202020204" pitchFamily="34" charset="0"/>
            </a:rPr>
            <a:t>]</a:t>
          </a:r>
        </a:p>
      </xdr:txBody>
    </xdr:sp>
    <xdr:clientData/>
  </xdr:oneCellAnchor>
  <xdr:twoCellAnchor>
    <xdr:from>
      <xdr:col>23</xdr:col>
      <xdr:colOff>477720</xdr:colOff>
      <xdr:row>5</xdr:row>
      <xdr:rowOff>73960</xdr:rowOff>
    </xdr:from>
    <xdr:to>
      <xdr:col>28</xdr:col>
      <xdr:colOff>129646</xdr:colOff>
      <xdr:row>6</xdr:row>
      <xdr:rowOff>129989</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000-000018000000}"/>
            </a:ext>
          </a:extLst>
        </xdr:cNvPr>
        <xdr:cNvSpPr txBox="1"/>
      </xdr:nvSpPr>
      <xdr:spPr>
        <a:xfrm>
          <a:off x="14395426" y="1149725"/>
          <a:ext cx="2677514" cy="257735"/>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Job Survey Tab</a:t>
          </a:r>
        </a:p>
      </xdr:txBody>
    </xdr:sp>
    <xdr:clientData/>
  </xdr:twoCellAnchor>
  <xdr:twoCellAnchor>
    <xdr:from>
      <xdr:col>23</xdr:col>
      <xdr:colOff>482203</xdr:colOff>
      <xdr:row>6</xdr:row>
      <xdr:rowOff>190500</xdr:rowOff>
    </xdr:from>
    <xdr:to>
      <xdr:col>28</xdr:col>
      <xdr:colOff>134129</xdr:colOff>
      <xdr:row>8</xdr:row>
      <xdr:rowOff>44824</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000-000019000000}"/>
            </a:ext>
          </a:extLst>
        </xdr:cNvPr>
        <xdr:cNvSpPr txBox="1"/>
      </xdr:nvSpPr>
      <xdr:spPr>
        <a:xfrm>
          <a:off x="14399909" y="1467971"/>
          <a:ext cx="2677514" cy="257735"/>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Tech Features Tab</a:t>
          </a:r>
        </a:p>
      </xdr:txBody>
    </xdr:sp>
    <xdr:clientData/>
  </xdr:twoCellAnchor>
  <xdr:twoCellAnchor>
    <xdr:from>
      <xdr:col>23</xdr:col>
      <xdr:colOff>482203</xdr:colOff>
      <xdr:row>8</xdr:row>
      <xdr:rowOff>112060</xdr:rowOff>
    </xdr:from>
    <xdr:to>
      <xdr:col>28</xdr:col>
      <xdr:colOff>134129</xdr:colOff>
      <xdr:row>9</xdr:row>
      <xdr:rowOff>168089</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000-00001A000000}"/>
            </a:ext>
          </a:extLst>
        </xdr:cNvPr>
        <xdr:cNvSpPr txBox="1"/>
      </xdr:nvSpPr>
      <xdr:spPr>
        <a:xfrm>
          <a:off x="14399909" y="1792942"/>
          <a:ext cx="2677514" cy="257735"/>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Tech Advantage Tab</a:t>
          </a:r>
        </a:p>
      </xdr:txBody>
    </xdr:sp>
    <xdr:clientData/>
  </xdr:twoCellAnchor>
  <xdr:twoCellAnchor>
    <xdr:from>
      <xdr:col>23</xdr:col>
      <xdr:colOff>472928</xdr:colOff>
      <xdr:row>10</xdr:row>
      <xdr:rowOff>22412</xdr:rowOff>
    </xdr:from>
    <xdr:to>
      <xdr:col>28</xdr:col>
      <xdr:colOff>132199</xdr:colOff>
      <xdr:row>11</xdr:row>
      <xdr:rowOff>89647</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000-00001B000000}"/>
            </a:ext>
          </a:extLst>
        </xdr:cNvPr>
        <xdr:cNvSpPr txBox="1"/>
      </xdr:nvSpPr>
      <xdr:spPr>
        <a:xfrm>
          <a:off x="14390634" y="2106706"/>
          <a:ext cx="2684859" cy="268941"/>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Total Available Market Tab</a:t>
          </a:r>
        </a:p>
      </xdr:txBody>
    </xdr:sp>
    <xdr:clientData/>
  </xdr:twoCellAnchor>
  <xdr:twoCellAnchor>
    <xdr:from>
      <xdr:col>23</xdr:col>
      <xdr:colOff>479650</xdr:colOff>
      <xdr:row>11</xdr:row>
      <xdr:rowOff>141196</xdr:rowOff>
    </xdr:from>
    <xdr:to>
      <xdr:col>28</xdr:col>
      <xdr:colOff>138921</xdr:colOff>
      <xdr:row>13</xdr:row>
      <xdr:rowOff>6725</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000-00001C000000}"/>
            </a:ext>
          </a:extLst>
        </xdr:cNvPr>
        <xdr:cNvSpPr txBox="1"/>
      </xdr:nvSpPr>
      <xdr:spPr>
        <a:xfrm>
          <a:off x="14397356" y="2427196"/>
          <a:ext cx="2684859" cy="268941"/>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Market Study Tab</a:t>
          </a:r>
        </a:p>
      </xdr:txBody>
    </xdr:sp>
    <xdr:clientData/>
  </xdr:twoCellAnchor>
  <xdr:twoCellAnchor>
    <xdr:from>
      <xdr:col>23</xdr:col>
      <xdr:colOff>495340</xdr:colOff>
      <xdr:row>13</xdr:row>
      <xdr:rowOff>67235</xdr:rowOff>
    </xdr:from>
    <xdr:to>
      <xdr:col>28</xdr:col>
      <xdr:colOff>154611</xdr:colOff>
      <xdr:row>14</xdr:row>
      <xdr:rowOff>134470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000-00001D000000}"/>
            </a:ext>
          </a:extLst>
        </xdr:cNvPr>
        <xdr:cNvSpPr txBox="1"/>
      </xdr:nvSpPr>
      <xdr:spPr>
        <a:xfrm>
          <a:off x="14413046" y="2756647"/>
          <a:ext cx="2684859" cy="268941"/>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Competitive Analysis Tab</a:t>
          </a:r>
        </a:p>
      </xdr:txBody>
    </xdr:sp>
    <xdr:clientData/>
  </xdr:twoCellAnchor>
  <xdr:twoCellAnchor>
    <xdr:from>
      <xdr:col>23</xdr:col>
      <xdr:colOff>506544</xdr:colOff>
      <xdr:row>15</xdr:row>
      <xdr:rowOff>0</xdr:rowOff>
    </xdr:from>
    <xdr:to>
      <xdr:col>28</xdr:col>
      <xdr:colOff>165815</xdr:colOff>
      <xdr:row>16</xdr:row>
      <xdr:rowOff>67236</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000-00001E000000}"/>
            </a:ext>
          </a:extLst>
        </xdr:cNvPr>
        <xdr:cNvSpPr txBox="1"/>
      </xdr:nvSpPr>
      <xdr:spPr>
        <a:xfrm>
          <a:off x="14424250" y="3092824"/>
          <a:ext cx="2684859" cy="268941"/>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CoGS Analysis Tab</a:t>
          </a:r>
        </a:p>
      </xdr:txBody>
    </xdr:sp>
    <xdr:clientData/>
  </xdr:twoCellAnchor>
  <xdr:twoCellAnchor>
    <xdr:from>
      <xdr:col>23</xdr:col>
      <xdr:colOff>506545</xdr:colOff>
      <xdr:row>16</xdr:row>
      <xdr:rowOff>134471</xdr:rowOff>
    </xdr:from>
    <xdr:to>
      <xdr:col>28</xdr:col>
      <xdr:colOff>165816</xdr:colOff>
      <xdr:row>18</xdr:row>
      <xdr:rowOff>0</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000-00001F000000}"/>
            </a:ext>
          </a:extLst>
        </xdr:cNvPr>
        <xdr:cNvSpPr txBox="1"/>
      </xdr:nvSpPr>
      <xdr:spPr>
        <a:xfrm>
          <a:off x="14424251" y="3429000"/>
          <a:ext cx="2684859" cy="268941"/>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HR Plan Tab</a:t>
          </a:r>
        </a:p>
      </xdr:txBody>
    </xdr:sp>
    <xdr:clientData/>
  </xdr:twoCellAnchor>
  <xdr:twoCellAnchor>
    <xdr:from>
      <xdr:col>23</xdr:col>
      <xdr:colOff>517750</xdr:colOff>
      <xdr:row>19</xdr:row>
      <xdr:rowOff>190499</xdr:rowOff>
    </xdr:from>
    <xdr:to>
      <xdr:col>28</xdr:col>
      <xdr:colOff>177021</xdr:colOff>
      <xdr:row>21</xdr:row>
      <xdr:rowOff>56028</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000-000020000000}"/>
            </a:ext>
          </a:extLst>
        </xdr:cNvPr>
        <xdr:cNvSpPr txBox="1"/>
      </xdr:nvSpPr>
      <xdr:spPr>
        <a:xfrm>
          <a:off x="14435456" y="4090146"/>
          <a:ext cx="2684859" cy="268941"/>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Use of Funds Tab</a:t>
          </a:r>
        </a:p>
      </xdr:txBody>
    </xdr:sp>
    <xdr:clientData/>
  </xdr:twoCellAnchor>
  <xdr:twoCellAnchor>
    <xdr:from>
      <xdr:col>23</xdr:col>
      <xdr:colOff>528956</xdr:colOff>
      <xdr:row>21</xdr:row>
      <xdr:rowOff>123263</xdr:rowOff>
    </xdr:from>
    <xdr:to>
      <xdr:col>28</xdr:col>
      <xdr:colOff>188227</xdr:colOff>
      <xdr:row>22</xdr:row>
      <xdr:rowOff>190498</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000-000021000000}"/>
            </a:ext>
          </a:extLst>
        </xdr:cNvPr>
        <xdr:cNvSpPr txBox="1"/>
      </xdr:nvSpPr>
      <xdr:spPr>
        <a:xfrm>
          <a:off x="14446662" y="4426322"/>
          <a:ext cx="2684859" cy="268941"/>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Gantt Chart Tab</a:t>
          </a:r>
        </a:p>
      </xdr:txBody>
    </xdr:sp>
    <xdr:clientData/>
  </xdr:twoCellAnchor>
  <xdr:twoCellAnchor>
    <xdr:from>
      <xdr:col>23</xdr:col>
      <xdr:colOff>528957</xdr:colOff>
      <xdr:row>23</xdr:row>
      <xdr:rowOff>56027</xdr:rowOff>
    </xdr:from>
    <xdr:to>
      <xdr:col>28</xdr:col>
      <xdr:colOff>188228</xdr:colOff>
      <xdr:row>24</xdr:row>
      <xdr:rowOff>123263</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000-000022000000}"/>
            </a:ext>
          </a:extLst>
        </xdr:cNvPr>
        <xdr:cNvSpPr txBox="1"/>
      </xdr:nvSpPr>
      <xdr:spPr>
        <a:xfrm>
          <a:off x="14446663" y="4762498"/>
          <a:ext cx="2684859" cy="268941"/>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Manufacturing Plan Tab</a:t>
          </a:r>
        </a:p>
      </xdr:txBody>
    </xdr:sp>
    <xdr:clientData/>
  </xdr:twoCellAnchor>
  <xdr:twoCellAnchor>
    <xdr:from>
      <xdr:col>23</xdr:col>
      <xdr:colOff>515468</xdr:colOff>
      <xdr:row>24</xdr:row>
      <xdr:rowOff>190500</xdr:rowOff>
    </xdr:from>
    <xdr:to>
      <xdr:col>28</xdr:col>
      <xdr:colOff>179293</xdr:colOff>
      <xdr:row>26</xdr:row>
      <xdr:rowOff>100852</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000-000023000000}"/>
            </a:ext>
          </a:extLst>
        </xdr:cNvPr>
        <xdr:cNvSpPr txBox="1"/>
      </xdr:nvSpPr>
      <xdr:spPr>
        <a:xfrm>
          <a:off x="14433174" y="5098676"/>
          <a:ext cx="2689413" cy="313764"/>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Startup Phase (1-4 Months) Tab</a:t>
          </a:r>
        </a:p>
      </xdr:txBody>
    </xdr:sp>
    <xdr:clientData/>
  </xdr:twoCellAnchor>
  <xdr:twoCellAnchor>
    <xdr:from>
      <xdr:col>23</xdr:col>
      <xdr:colOff>526676</xdr:colOff>
      <xdr:row>26</xdr:row>
      <xdr:rowOff>168087</xdr:rowOff>
    </xdr:from>
    <xdr:to>
      <xdr:col>28</xdr:col>
      <xdr:colOff>190501</xdr:colOff>
      <xdr:row>28</xdr:row>
      <xdr:rowOff>11204</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000-000024000000}"/>
            </a:ext>
          </a:extLst>
        </xdr:cNvPr>
        <xdr:cNvSpPr txBox="1"/>
      </xdr:nvSpPr>
      <xdr:spPr>
        <a:xfrm>
          <a:off x="14444382" y="5479675"/>
          <a:ext cx="2689413" cy="313764"/>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Beta Phase (5-8 Months) Tab</a:t>
          </a:r>
        </a:p>
      </xdr:txBody>
    </xdr:sp>
    <xdr:clientData/>
  </xdr:twoCellAnchor>
  <xdr:twoCellAnchor>
    <xdr:from>
      <xdr:col>23</xdr:col>
      <xdr:colOff>537882</xdr:colOff>
      <xdr:row>28</xdr:row>
      <xdr:rowOff>78439</xdr:rowOff>
    </xdr:from>
    <xdr:to>
      <xdr:col>28</xdr:col>
      <xdr:colOff>201707</xdr:colOff>
      <xdr:row>29</xdr:row>
      <xdr:rowOff>190497</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000-000025000000}"/>
            </a:ext>
          </a:extLst>
        </xdr:cNvPr>
        <xdr:cNvSpPr txBox="1"/>
      </xdr:nvSpPr>
      <xdr:spPr>
        <a:xfrm>
          <a:off x="14455588" y="5860674"/>
          <a:ext cx="2689413" cy="313764"/>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Prod Ready Phase (9-12 Months) Tab</a:t>
          </a:r>
        </a:p>
      </xdr:txBody>
    </xdr:sp>
    <xdr:clientData/>
  </xdr:twoCellAnchor>
  <xdr:twoCellAnchor>
    <xdr:from>
      <xdr:col>23</xdr:col>
      <xdr:colOff>549088</xdr:colOff>
      <xdr:row>30</xdr:row>
      <xdr:rowOff>67233</xdr:rowOff>
    </xdr:from>
    <xdr:to>
      <xdr:col>28</xdr:col>
      <xdr:colOff>212913</xdr:colOff>
      <xdr:row>31</xdr:row>
      <xdr:rowOff>179291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000-000026000000}"/>
            </a:ext>
          </a:extLst>
        </xdr:cNvPr>
        <xdr:cNvSpPr txBox="1"/>
      </xdr:nvSpPr>
      <xdr:spPr>
        <a:xfrm>
          <a:off x="14466794" y="6252880"/>
          <a:ext cx="2689413" cy="313764"/>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Beyond 12 Months Phase Tab</a:t>
          </a:r>
        </a:p>
      </xdr:txBody>
    </xdr:sp>
    <xdr:clientData/>
  </xdr:twoCellAnchor>
  <xdr:twoCellAnchor>
    <xdr:from>
      <xdr:col>23</xdr:col>
      <xdr:colOff>560294</xdr:colOff>
      <xdr:row>32</xdr:row>
      <xdr:rowOff>44823</xdr:rowOff>
    </xdr:from>
    <xdr:to>
      <xdr:col>28</xdr:col>
      <xdr:colOff>224119</xdr:colOff>
      <xdr:row>33</xdr:row>
      <xdr:rowOff>156881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000-000027000000}"/>
            </a:ext>
          </a:extLst>
        </xdr:cNvPr>
        <xdr:cNvSpPr txBox="1"/>
      </xdr:nvSpPr>
      <xdr:spPr>
        <a:xfrm>
          <a:off x="14478000" y="6633882"/>
          <a:ext cx="2689413" cy="313764"/>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Burn Rate Tab</a:t>
          </a:r>
        </a:p>
      </xdr:txBody>
    </xdr:sp>
    <xdr:clientData/>
  </xdr:twoCellAnchor>
  <xdr:twoCellAnchor>
    <xdr:from>
      <xdr:col>23</xdr:col>
      <xdr:colOff>571500</xdr:colOff>
      <xdr:row>34</xdr:row>
      <xdr:rowOff>11205</xdr:rowOff>
    </xdr:from>
    <xdr:to>
      <xdr:col>28</xdr:col>
      <xdr:colOff>235325</xdr:colOff>
      <xdr:row>35</xdr:row>
      <xdr:rowOff>123264</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000-000028000000}"/>
            </a:ext>
          </a:extLst>
        </xdr:cNvPr>
        <xdr:cNvSpPr txBox="1"/>
      </xdr:nvSpPr>
      <xdr:spPr>
        <a:xfrm>
          <a:off x="14489206" y="7003676"/>
          <a:ext cx="2689413" cy="313764"/>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Burn Rate Graph Tab</a:t>
          </a:r>
        </a:p>
      </xdr:txBody>
    </xdr:sp>
    <xdr:clientData/>
  </xdr:twoCellAnchor>
  <xdr:twoCellAnchor>
    <xdr:from>
      <xdr:col>23</xdr:col>
      <xdr:colOff>582706</xdr:colOff>
      <xdr:row>35</xdr:row>
      <xdr:rowOff>179294</xdr:rowOff>
    </xdr:from>
    <xdr:to>
      <xdr:col>28</xdr:col>
      <xdr:colOff>246531</xdr:colOff>
      <xdr:row>37</xdr:row>
      <xdr:rowOff>89646</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000-000029000000}"/>
            </a:ext>
          </a:extLst>
        </xdr:cNvPr>
        <xdr:cNvSpPr txBox="1"/>
      </xdr:nvSpPr>
      <xdr:spPr>
        <a:xfrm>
          <a:off x="14500412" y="7373470"/>
          <a:ext cx="2689413" cy="313764"/>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Burn Rate-Rev-Cash Bal Graph Tab</a:t>
          </a:r>
        </a:p>
      </xdr:txBody>
    </xdr:sp>
    <xdr:clientData/>
  </xdr:twoCellAnchor>
  <xdr:twoCellAnchor>
    <xdr:from>
      <xdr:col>23</xdr:col>
      <xdr:colOff>593912</xdr:colOff>
      <xdr:row>37</xdr:row>
      <xdr:rowOff>145675</xdr:rowOff>
    </xdr:from>
    <xdr:to>
      <xdr:col>28</xdr:col>
      <xdr:colOff>257737</xdr:colOff>
      <xdr:row>39</xdr:row>
      <xdr:rowOff>56027</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000-00002A000000}"/>
            </a:ext>
          </a:extLst>
        </xdr:cNvPr>
        <xdr:cNvSpPr txBox="1"/>
      </xdr:nvSpPr>
      <xdr:spPr>
        <a:xfrm>
          <a:off x="14511618" y="7743263"/>
          <a:ext cx="2689413" cy="313764"/>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P&amp;L Tab</a:t>
          </a:r>
        </a:p>
      </xdr:txBody>
    </xdr:sp>
    <xdr:clientData/>
  </xdr:twoCellAnchor>
  <xdr:twoCellAnchor>
    <xdr:from>
      <xdr:col>24</xdr:col>
      <xdr:colOff>0</xdr:colOff>
      <xdr:row>39</xdr:row>
      <xdr:rowOff>123263</xdr:rowOff>
    </xdr:from>
    <xdr:to>
      <xdr:col>28</xdr:col>
      <xdr:colOff>268943</xdr:colOff>
      <xdr:row>41</xdr:row>
      <xdr:rowOff>33615</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000-00002B000000}"/>
            </a:ext>
          </a:extLst>
        </xdr:cNvPr>
        <xdr:cNvSpPr txBox="1"/>
      </xdr:nvSpPr>
      <xdr:spPr>
        <a:xfrm>
          <a:off x="14522824" y="8124263"/>
          <a:ext cx="2689413" cy="313764"/>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Detailed Calculations Tab</a:t>
          </a:r>
        </a:p>
      </xdr:txBody>
    </xdr:sp>
    <xdr:clientData/>
  </xdr:twoCellAnchor>
  <xdr:twoCellAnchor>
    <xdr:from>
      <xdr:col>24</xdr:col>
      <xdr:colOff>11206</xdr:colOff>
      <xdr:row>41</xdr:row>
      <xdr:rowOff>100851</xdr:rowOff>
    </xdr:from>
    <xdr:to>
      <xdr:col>28</xdr:col>
      <xdr:colOff>280149</xdr:colOff>
      <xdr:row>43</xdr:row>
      <xdr:rowOff>11203</xdr:rowOff>
    </xdr:to>
    <xdr:sp macro="" textlink="">
      <xdr:nvSpPr>
        <xdr:cNvPr id="44" name="TextBox 43">
          <a:hlinkClick xmlns:r="http://schemas.openxmlformats.org/officeDocument/2006/relationships" r:id="rId35"/>
          <a:extLst>
            <a:ext uri="{FF2B5EF4-FFF2-40B4-BE49-F238E27FC236}">
              <a16:creationId xmlns:a16="http://schemas.microsoft.com/office/drawing/2014/main" id="{00000000-0008-0000-0000-00002C000000}"/>
            </a:ext>
          </a:extLst>
        </xdr:cNvPr>
        <xdr:cNvSpPr txBox="1"/>
      </xdr:nvSpPr>
      <xdr:spPr>
        <a:xfrm>
          <a:off x="14534030" y="8505263"/>
          <a:ext cx="2689413" cy="313764"/>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Payroll Calculations Tab</a:t>
          </a:r>
        </a:p>
      </xdr:txBody>
    </xdr:sp>
    <xdr:clientData/>
  </xdr:twoCellAnchor>
  <xdr:twoCellAnchor editAs="oneCell">
    <xdr:from>
      <xdr:col>5</xdr:col>
      <xdr:colOff>526676</xdr:colOff>
      <xdr:row>5</xdr:row>
      <xdr:rowOff>179293</xdr:rowOff>
    </xdr:from>
    <xdr:to>
      <xdr:col>8</xdr:col>
      <xdr:colOff>459441</xdr:colOff>
      <xdr:row>7</xdr:row>
      <xdr:rowOff>22469</xdr:rowOff>
    </xdr:to>
    <xdr:sp macro="" textlink="">
      <xdr:nvSpPr>
        <xdr:cNvPr id="7" name="TextBox 6">
          <a:hlinkClick xmlns:r="http://schemas.openxmlformats.org/officeDocument/2006/relationships" r:id="rId36"/>
          <a:extLst>
            <a:ext uri="{FF2B5EF4-FFF2-40B4-BE49-F238E27FC236}">
              <a16:creationId xmlns:a16="http://schemas.microsoft.com/office/drawing/2014/main" id="{00000000-0008-0000-0000-000007000000}"/>
            </a:ext>
          </a:extLst>
        </xdr:cNvPr>
        <xdr:cNvSpPr txBox="1"/>
      </xdr:nvSpPr>
      <xdr:spPr>
        <a:xfrm>
          <a:off x="3552264" y="1255058"/>
          <a:ext cx="1748118" cy="24658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latin typeface="Aptos" panose="020B0004020202020204" pitchFamily="34" charset="0"/>
            </a:rPr>
            <a:t>[</a:t>
          </a:r>
          <a:r>
            <a:rPr lang="en-US" sz="1200">
              <a:solidFill>
                <a:srgbClr val="0070C0"/>
              </a:solidFill>
              <a:latin typeface="Aptos" panose="020B0004020202020204" pitchFamily="34" charset="0"/>
            </a:rPr>
            <a:t>Morgan Stanley Study</a:t>
          </a:r>
          <a:r>
            <a:rPr lang="en-US" sz="1200">
              <a:latin typeface="Aptos" panose="020B0004020202020204" pitchFamily="34" charset="0"/>
            </a:rPr>
            <a:t>].</a:t>
          </a:r>
        </a:p>
      </xdr:txBody>
    </xdr:sp>
    <xdr:clientData/>
  </xdr:twoCellAnchor>
  <xdr:twoCellAnchor editAs="oneCell">
    <xdr:from>
      <xdr:col>0</xdr:col>
      <xdr:colOff>537882</xdr:colOff>
      <xdr:row>5</xdr:row>
      <xdr:rowOff>179294</xdr:rowOff>
    </xdr:from>
    <xdr:to>
      <xdr:col>6</xdr:col>
      <xdr:colOff>168088</xdr:colOff>
      <xdr:row>7</xdr:row>
      <xdr:rowOff>33618</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37882" y="1255059"/>
          <a:ext cx="3260912" cy="25773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latin typeface="Aptos" panose="020B0004020202020204" pitchFamily="34" charset="0"/>
            </a:rPr>
            <a:t>The AAM market will be dominated by air taxis</a:t>
          </a:r>
        </a:p>
      </xdr:txBody>
    </xdr:sp>
    <xdr:clientData/>
  </xdr:twoCellAnchor>
  <xdr:twoCellAnchor editAs="oneCell">
    <xdr:from>
      <xdr:col>8</xdr:col>
      <xdr:colOff>286869</xdr:colOff>
      <xdr:row>5</xdr:row>
      <xdr:rowOff>186019</xdr:rowOff>
    </xdr:from>
    <xdr:to>
      <xdr:col>16</xdr:col>
      <xdr:colOff>549088</xdr:colOff>
      <xdr:row>7</xdr:row>
      <xdr:rowOff>89648</xdr:rowOff>
    </xdr:to>
    <xdr:sp macro="" textlink="">
      <xdr:nvSpPr>
        <xdr:cNvPr id="45" name="TextBox 44">
          <a:extLst>
            <a:ext uri="{FF2B5EF4-FFF2-40B4-BE49-F238E27FC236}">
              <a16:creationId xmlns:a16="http://schemas.microsoft.com/office/drawing/2014/main" id="{00000000-0008-0000-0000-00002D000000}"/>
            </a:ext>
          </a:extLst>
        </xdr:cNvPr>
        <xdr:cNvSpPr txBox="1"/>
      </xdr:nvSpPr>
      <xdr:spPr>
        <a:xfrm>
          <a:off x="5127810" y="1261784"/>
          <a:ext cx="5103160" cy="30704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latin typeface="Aptos" panose="020B0004020202020204" pitchFamily="34" charset="0"/>
            </a:rPr>
            <a:t>Existing piston engines have a very low power to weight ratio and cannot be</a:t>
          </a:r>
        </a:p>
      </xdr:txBody>
    </xdr:sp>
    <xdr:clientData/>
  </xdr:twoCellAnchor>
  <xdr:twoCellAnchor editAs="oneCell">
    <xdr:from>
      <xdr:col>0</xdr:col>
      <xdr:colOff>560295</xdr:colOff>
      <xdr:row>28</xdr:row>
      <xdr:rowOff>0</xdr:rowOff>
    </xdr:from>
    <xdr:to>
      <xdr:col>8</xdr:col>
      <xdr:colOff>504266</xdr:colOff>
      <xdr:row>29</xdr:row>
      <xdr:rowOff>105334</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60295" y="5782235"/>
          <a:ext cx="4784912" cy="30704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latin typeface="Aptos" panose="020B0004020202020204" pitchFamily="34" charset="0"/>
            </a:rPr>
            <a:t>All air taxis utilize distributed propulsion patented by Dr Moller in 1971</a:t>
          </a:r>
        </a:p>
      </xdr:txBody>
    </xdr:sp>
    <xdr:clientData/>
  </xdr:twoCellAnchor>
  <xdr:twoCellAnchor editAs="oneCell">
    <xdr:from>
      <xdr:col>9</xdr:col>
      <xdr:colOff>425822</xdr:colOff>
      <xdr:row>27</xdr:row>
      <xdr:rowOff>190501</xdr:rowOff>
    </xdr:from>
    <xdr:to>
      <xdr:col>17</xdr:col>
      <xdr:colOff>593910</xdr:colOff>
      <xdr:row>29</xdr:row>
      <xdr:rowOff>94129</xdr:rowOff>
    </xdr:to>
    <xdr:sp macro="" textlink="">
      <xdr:nvSpPr>
        <xdr:cNvPr id="46" name="TextBox 45">
          <a:extLst>
            <a:ext uri="{FF2B5EF4-FFF2-40B4-BE49-F238E27FC236}">
              <a16:creationId xmlns:a16="http://schemas.microsoft.com/office/drawing/2014/main" id="{00000000-0008-0000-0000-00002E000000}"/>
            </a:ext>
          </a:extLst>
        </xdr:cNvPr>
        <xdr:cNvSpPr txBox="1"/>
      </xdr:nvSpPr>
      <xdr:spPr>
        <a:xfrm>
          <a:off x="5871881" y="5771030"/>
          <a:ext cx="5009029" cy="30704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latin typeface="Aptos" panose="020B0004020202020204" pitchFamily="34" charset="0"/>
            </a:rPr>
            <a:t>Distributed propulsion uses a number of smaller power plants in place of</a:t>
          </a:r>
        </a:p>
      </xdr:txBody>
    </xdr:sp>
    <xdr:clientData/>
  </xdr:twoCellAnchor>
  <xdr:twoCellAnchor editAs="oneCell">
    <xdr:from>
      <xdr:col>0</xdr:col>
      <xdr:colOff>549089</xdr:colOff>
      <xdr:row>31</xdr:row>
      <xdr:rowOff>168088</xdr:rowOff>
    </xdr:from>
    <xdr:to>
      <xdr:col>6</xdr:col>
      <xdr:colOff>324971</xdr:colOff>
      <xdr:row>33</xdr:row>
      <xdr:rowOff>71716</xdr:rowOff>
    </xdr:to>
    <xdr:sp macro="" textlink="">
      <xdr:nvSpPr>
        <xdr:cNvPr id="47" name="TextBox 46">
          <a:extLst>
            <a:ext uri="{FF2B5EF4-FFF2-40B4-BE49-F238E27FC236}">
              <a16:creationId xmlns:a16="http://schemas.microsoft.com/office/drawing/2014/main" id="{00000000-0008-0000-0000-00002F000000}"/>
            </a:ext>
          </a:extLst>
        </xdr:cNvPr>
        <xdr:cNvSpPr txBox="1"/>
      </xdr:nvSpPr>
      <xdr:spPr>
        <a:xfrm>
          <a:off x="549089" y="6555441"/>
          <a:ext cx="3406588" cy="30704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latin typeface="Aptos" panose="020B0004020202020204" pitchFamily="34" charset="0"/>
            </a:rPr>
            <a:t>powered air taxi has a range of less than 37 miles</a:t>
          </a:r>
        </a:p>
      </xdr:txBody>
    </xdr:sp>
    <xdr:clientData/>
  </xdr:twoCellAnchor>
  <xdr:twoCellAnchor editAs="oneCell">
    <xdr:from>
      <xdr:col>11</xdr:col>
      <xdr:colOff>454960</xdr:colOff>
      <xdr:row>31</xdr:row>
      <xdr:rowOff>163606</xdr:rowOff>
    </xdr:from>
    <xdr:to>
      <xdr:col>18</xdr:col>
      <xdr:colOff>224117</xdr:colOff>
      <xdr:row>33</xdr:row>
      <xdr:rowOff>67234</xdr:rowOff>
    </xdr:to>
    <xdr:sp macro="" textlink="">
      <xdr:nvSpPr>
        <xdr:cNvPr id="48" name="TextBox 47">
          <a:extLst>
            <a:ext uri="{FF2B5EF4-FFF2-40B4-BE49-F238E27FC236}">
              <a16:creationId xmlns:a16="http://schemas.microsoft.com/office/drawing/2014/main" id="{00000000-0008-0000-0000-000030000000}"/>
            </a:ext>
          </a:extLst>
        </xdr:cNvPr>
        <xdr:cNvSpPr txBox="1"/>
      </xdr:nvSpPr>
      <xdr:spPr>
        <a:xfrm>
          <a:off x="7111254" y="6550959"/>
          <a:ext cx="4004981" cy="30704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latin typeface="Aptos" panose="020B0004020202020204" pitchFamily="34" charset="0"/>
            </a:rPr>
            <a:t>Engines as a power and energy source present an entirely </a:t>
          </a:r>
        </a:p>
      </xdr:txBody>
    </xdr:sp>
    <xdr:clientData/>
  </xdr:twoCellAnchor>
  <xdr:twoCellAnchor editAs="oneCell">
    <xdr:from>
      <xdr:col>0</xdr:col>
      <xdr:colOff>549088</xdr:colOff>
      <xdr:row>79</xdr:row>
      <xdr:rowOff>179294</xdr:rowOff>
    </xdr:from>
    <xdr:to>
      <xdr:col>5</xdr:col>
      <xdr:colOff>156883</xdr:colOff>
      <xdr:row>81</xdr:row>
      <xdr:rowOff>82923</xdr:rowOff>
    </xdr:to>
    <xdr:sp macro="" textlink="">
      <xdr:nvSpPr>
        <xdr:cNvPr id="49" name="TextBox 48">
          <a:extLst>
            <a:ext uri="{FF2B5EF4-FFF2-40B4-BE49-F238E27FC236}">
              <a16:creationId xmlns:a16="http://schemas.microsoft.com/office/drawing/2014/main" id="{00000000-0008-0000-0000-000031000000}"/>
            </a:ext>
          </a:extLst>
        </xdr:cNvPr>
        <xdr:cNvSpPr txBox="1"/>
      </xdr:nvSpPr>
      <xdr:spPr>
        <a:xfrm>
          <a:off x="549088" y="16315765"/>
          <a:ext cx="2633383" cy="30704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latin typeface="Aptos" panose="020B0004020202020204" pitchFamily="34" charset="0"/>
            </a:rPr>
            <a:t>the multi-trillion dollar air taxi market</a:t>
          </a:r>
        </a:p>
      </xdr:txBody>
    </xdr:sp>
    <xdr:clientData/>
  </xdr:twoCellAnchor>
  <xdr:twoCellAnchor editAs="oneCell">
    <xdr:from>
      <xdr:col>9</xdr:col>
      <xdr:colOff>560294</xdr:colOff>
      <xdr:row>79</xdr:row>
      <xdr:rowOff>168088</xdr:rowOff>
    </xdr:from>
    <xdr:to>
      <xdr:col>20</xdr:col>
      <xdr:colOff>201707</xdr:colOff>
      <xdr:row>81</xdr:row>
      <xdr:rowOff>71717</xdr:rowOff>
    </xdr:to>
    <xdr:sp macro="" textlink="">
      <xdr:nvSpPr>
        <xdr:cNvPr id="50" name="TextBox 49">
          <a:extLst>
            <a:ext uri="{FF2B5EF4-FFF2-40B4-BE49-F238E27FC236}">
              <a16:creationId xmlns:a16="http://schemas.microsoft.com/office/drawing/2014/main" id="{00000000-0008-0000-0000-000032000000}"/>
            </a:ext>
          </a:extLst>
        </xdr:cNvPr>
        <xdr:cNvSpPr txBox="1"/>
      </xdr:nvSpPr>
      <xdr:spPr>
        <a:xfrm>
          <a:off x="6006353" y="16304559"/>
          <a:ext cx="6297707" cy="30704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a:latin typeface="Aptos" panose="020B0004020202020204" pitchFamily="34" charset="0"/>
            </a:rPr>
            <a:t>76.4% of automotive trips carry one person and 7.5% carry two persons while ridesharing </a:t>
          </a:r>
        </a:p>
      </xdr:txBody>
    </xdr:sp>
    <xdr:clientData/>
  </xdr:twoCellAnchor>
  <xdr:twoCellAnchor editAs="oneCell">
    <xdr:from>
      <xdr:col>0</xdr:col>
      <xdr:colOff>549087</xdr:colOff>
      <xdr:row>81</xdr:row>
      <xdr:rowOff>168089</xdr:rowOff>
    </xdr:from>
    <xdr:to>
      <xdr:col>16</xdr:col>
      <xdr:colOff>212912</xdr:colOff>
      <xdr:row>83</xdr:row>
      <xdr:rowOff>71717</xdr:rowOff>
    </xdr:to>
    <xdr:sp macro="" textlink="">
      <xdr:nvSpPr>
        <xdr:cNvPr id="51" name="TextBox 50">
          <a:extLst>
            <a:ext uri="{FF2B5EF4-FFF2-40B4-BE49-F238E27FC236}">
              <a16:creationId xmlns:a16="http://schemas.microsoft.com/office/drawing/2014/main" id="{00000000-0008-0000-0000-000033000000}"/>
            </a:ext>
          </a:extLst>
        </xdr:cNvPr>
        <xdr:cNvSpPr txBox="1"/>
      </xdr:nvSpPr>
      <xdr:spPr>
        <a:xfrm>
          <a:off x="549087" y="16707971"/>
          <a:ext cx="9345707" cy="30704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a:latin typeface="Aptos" panose="020B0004020202020204" pitchFamily="34" charset="0"/>
            </a:rPr>
            <a:t>shorter and less costly path to approval for one or two passenger air taxis. MI has completed a one passenger airframe Skycar® 100X</a:t>
          </a:r>
        </a:p>
      </xdr:txBody>
    </xdr:sp>
    <xdr:clientData/>
  </xdr:twoCellAnchor>
  <xdr:twoCellAnchor editAs="oneCell">
    <xdr:from>
      <xdr:col>17</xdr:col>
      <xdr:colOff>481853</xdr:colOff>
      <xdr:row>81</xdr:row>
      <xdr:rowOff>156883</xdr:rowOff>
    </xdr:from>
    <xdr:to>
      <xdr:col>20</xdr:col>
      <xdr:colOff>280147</xdr:colOff>
      <xdr:row>83</xdr:row>
      <xdr:rowOff>60511</xdr:rowOff>
    </xdr:to>
    <xdr:sp macro="" textlink="">
      <xdr:nvSpPr>
        <xdr:cNvPr id="52" name="TextBox 51">
          <a:extLst>
            <a:ext uri="{FF2B5EF4-FFF2-40B4-BE49-F238E27FC236}">
              <a16:creationId xmlns:a16="http://schemas.microsoft.com/office/drawing/2014/main" id="{00000000-0008-0000-0000-000034000000}"/>
            </a:ext>
          </a:extLst>
        </xdr:cNvPr>
        <xdr:cNvSpPr txBox="1"/>
      </xdr:nvSpPr>
      <xdr:spPr>
        <a:xfrm>
          <a:off x="10768853" y="16696765"/>
          <a:ext cx="1613647" cy="30704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a:latin typeface="Aptos" panose="020B0004020202020204" pitchFamily="34" charset="0"/>
            </a:rPr>
            <a:t>and is in preparation </a:t>
          </a:r>
        </a:p>
      </xdr:txBody>
    </xdr:sp>
    <xdr:clientData/>
  </xdr:twoCellAnchor>
  <xdr:twoCellAnchor editAs="oneCell">
    <xdr:from>
      <xdr:col>22</xdr:col>
      <xdr:colOff>0</xdr:colOff>
      <xdr:row>45</xdr:row>
      <xdr:rowOff>0</xdr:rowOff>
    </xdr:from>
    <xdr:to>
      <xdr:col>29</xdr:col>
      <xdr:colOff>112059</xdr:colOff>
      <xdr:row>60</xdr:row>
      <xdr:rowOff>42315</xdr:rowOff>
    </xdr:to>
    <xdr:pic>
      <xdr:nvPicPr>
        <xdr:cNvPr id="54" name="Picture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3312588" y="9278471"/>
          <a:ext cx="4347883" cy="3067903"/>
        </a:xfrm>
        <a:prstGeom prst="rect">
          <a:avLst/>
        </a:prstGeom>
      </xdr:spPr>
    </xdr:pic>
    <xdr:clientData/>
  </xdr:twoCellAnchor>
  <xdr:twoCellAnchor>
    <xdr:from>
      <xdr:col>24</xdr:col>
      <xdr:colOff>67236</xdr:colOff>
      <xdr:row>60</xdr:row>
      <xdr:rowOff>56030</xdr:rowOff>
    </xdr:from>
    <xdr:to>
      <xdr:col>27</xdr:col>
      <xdr:colOff>481854</xdr:colOff>
      <xdr:row>61</xdr:row>
      <xdr:rowOff>123264</xdr:rowOff>
    </xdr:to>
    <xdr:sp macro="" textlink="">
      <xdr:nvSpPr>
        <xdr:cNvPr id="55" name="Text Box 2">
          <a:extLst>
            <a:ext uri="{FF2B5EF4-FFF2-40B4-BE49-F238E27FC236}">
              <a16:creationId xmlns:a16="http://schemas.microsoft.com/office/drawing/2014/main" id="{00000000-0008-0000-0000-000037000000}"/>
            </a:ext>
          </a:extLst>
        </xdr:cNvPr>
        <xdr:cNvSpPr txBox="1">
          <a:spLocks noChangeArrowheads="1"/>
        </xdr:cNvSpPr>
      </xdr:nvSpPr>
      <xdr:spPr bwMode="auto">
        <a:xfrm>
          <a:off x="14590060" y="12360089"/>
          <a:ext cx="2229970" cy="268940"/>
        </a:xfrm>
        <a:prstGeom prst="rect">
          <a:avLst/>
        </a:prstGeom>
        <a:noFill/>
        <a:ln w="9525">
          <a:noFill/>
          <a:miter lim="800000"/>
          <a:headEnd/>
          <a:tailEnd/>
        </a:ln>
      </xdr:spPr>
      <xdr:txBody>
        <a:bodyPr rot="0" vert="horz" wrap="square" lIns="91440" tIns="45720" rIns="91440" bIns="45720" anchor="t" anchorCtr="0">
          <a:spAutoFit/>
        </a:bodyPr>
        <a:lstStyle/>
        <a:p>
          <a:pPr marL="0" marR="0">
            <a:spcBef>
              <a:spcPts val="0"/>
            </a:spcBef>
            <a:spcAft>
              <a:spcPts val="0"/>
            </a:spcAft>
          </a:pPr>
          <a:r>
            <a:rPr lang="en-US" sz="1100" b="1">
              <a:effectLst/>
              <a:latin typeface="Aptos" panose="020B0004020202020204" pitchFamily="34" charset="0"/>
              <a:ea typeface="Times New Roman" panose="02020603050405020304" pitchFamily="18" charset="0"/>
              <a:cs typeface="Arial" panose="020B0604020202020204" pitchFamily="34" charset="0"/>
            </a:rPr>
            <a:t>Moller Skycar® 100X on ground</a:t>
          </a:r>
          <a:endParaRPr lang="en-US" sz="1200">
            <a:effectLst/>
            <a:latin typeface="Times New Roman" panose="02020603050405020304" pitchFamily="18" charset="0"/>
            <a:ea typeface="Times New Roman" panose="02020603050405020304" pitchFamily="18" charset="0"/>
            <a:cs typeface="Arial" panose="020B0604020202020204" pitchFamily="34" charset="0"/>
          </a:endParaRPr>
        </a:p>
      </xdr:txBody>
    </xdr:sp>
    <xdr:clientData/>
  </xdr:twoCellAnchor>
  <xdr:twoCellAnchor>
    <xdr:from>
      <xdr:col>23</xdr:col>
      <xdr:colOff>513268</xdr:colOff>
      <xdr:row>18</xdr:row>
      <xdr:rowOff>51547</xdr:rowOff>
    </xdr:from>
    <xdr:to>
      <xdr:col>28</xdr:col>
      <xdr:colOff>172539</xdr:colOff>
      <xdr:row>19</xdr:row>
      <xdr:rowOff>118782</xdr:rowOff>
    </xdr:to>
    <xdr:sp macro="" textlink="">
      <xdr:nvSpPr>
        <xdr:cNvPr id="53" name="TextBox 52">
          <a:hlinkClick xmlns:r="http://schemas.openxmlformats.org/officeDocument/2006/relationships" r:id="rId38"/>
          <a:extLst>
            <a:ext uri="{FF2B5EF4-FFF2-40B4-BE49-F238E27FC236}">
              <a16:creationId xmlns:a16="http://schemas.microsoft.com/office/drawing/2014/main" id="{00000000-0008-0000-0000-000035000000}"/>
            </a:ext>
          </a:extLst>
        </xdr:cNvPr>
        <xdr:cNvSpPr txBox="1"/>
      </xdr:nvSpPr>
      <xdr:spPr>
        <a:xfrm>
          <a:off x="14430974" y="3749488"/>
          <a:ext cx="2684859" cy="268941"/>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IP Plan Tab</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533400</xdr:colOff>
      <xdr:row>3</xdr:row>
      <xdr:rowOff>76200</xdr:rowOff>
    </xdr:from>
    <xdr:to>
      <xdr:col>27</xdr:col>
      <xdr:colOff>88659</xdr:colOff>
      <xdr:row>32</xdr:row>
      <xdr:rowOff>155760</xdr:rowOff>
    </xdr:to>
    <xdr:pic>
      <xdr:nvPicPr>
        <xdr:cNvPr id="2" name="object 3">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stretch>
          <a:fillRect/>
        </a:stretch>
      </xdr:blipFill>
      <xdr:spPr>
        <a:xfrm>
          <a:off x="8458200" y="647700"/>
          <a:ext cx="8089659" cy="5604060"/>
        </a:xfrm>
        <a:prstGeom prst="rect">
          <a:avLst/>
        </a:prstGeom>
      </xdr:spPr>
    </xdr:pic>
    <xdr:clientData/>
  </xdr:twoCellAnchor>
  <xdr:twoCellAnchor editAs="oneCell">
    <xdr:from>
      <xdr:col>0</xdr:col>
      <xdr:colOff>183703</xdr:colOff>
      <xdr:row>12</xdr:row>
      <xdr:rowOff>63358</xdr:rowOff>
    </xdr:from>
    <xdr:to>
      <xdr:col>14</xdr:col>
      <xdr:colOff>253224</xdr:colOff>
      <xdr:row>38</xdr:row>
      <xdr:rowOff>19049</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83703" y="2349358"/>
          <a:ext cx="8603921" cy="4908691"/>
        </a:xfrm>
        <a:prstGeom prst="rect">
          <a:avLst/>
        </a:prstGeom>
      </xdr:spPr>
    </xdr:pic>
    <xdr:clientData/>
  </xdr:twoCellAnchor>
  <xdr:twoCellAnchor>
    <xdr:from>
      <xdr:col>15</xdr:col>
      <xdr:colOff>552450</xdr:colOff>
      <xdr:row>0</xdr:row>
      <xdr:rowOff>123825</xdr:rowOff>
    </xdr:from>
    <xdr:to>
      <xdr:col>20</xdr:col>
      <xdr:colOff>216275</xdr:colOff>
      <xdr:row>2</xdr:row>
      <xdr:rowOff>34177</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0900-000004000000}"/>
            </a:ext>
          </a:extLst>
        </xdr:cNvPr>
        <xdr:cNvSpPr txBox="1"/>
      </xdr:nvSpPr>
      <xdr:spPr>
        <a:xfrm>
          <a:off x="9696450" y="123825"/>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66675</xdr:colOff>
      <xdr:row>0</xdr:row>
      <xdr:rowOff>0</xdr:rowOff>
    </xdr:from>
    <xdr:to>
      <xdr:col>27</xdr:col>
      <xdr:colOff>515621</xdr:colOff>
      <xdr:row>31</xdr:row>
      <xdr:rowOff>72041</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9820275" y="0"/>
          <a:ext cx="7154546" cy="6091841"/>
        </a:xfrm>
        <a:prstGeom prst="rect">
          <a:avLst/>
        </a:prstGeom>
      </xdr:spPr>
    </xdr:pic>
    <xdr:clientData/>
  </xdr:twoCellAnchor>
  <xdr:twoCellAnchor editAs="oneCell">
    <xdr:from>
      <xdr:col>1</xdr:col>
      <xdr:colOff>371475</xdr:colOff>
      <xdr:row>20</xdr:row>
      <xdr:rowOff>104775</xdr:rowOff>
    </xdr:from>
    <xdr:to>
      <xdr:col>13</xdr:col>
      <xdr:colOff>481518</xdr:colOff>
      <xdr:row>49</xdr:row>
      <xdr:rowOff>172411</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981075" y="4029075"/>
          <a:ext cx="7425243" cy="5592136"/>
        </a:xfrm>
        <a:prstGeom prst="rect">
          <a:avLst/>
        </a:prstGeom>
      </xdr:spPr>
    </xdr:pic>
    <xdr:clientData/>
  </xdr:twoCellAnchor>
  <xdr:twoCellAnchor editAs="oneCell">
    <xdr:from>
      <xdr:col>0</xdr:col>
      <xdr:colOff>200025</xdr:colOff>
      <xdr:row>15</xdr:row>
      <xdr:rowOff>38100</xdr:rowOff>
    </xdr:from>
    <xdr:to>
      <xdr:col>3</xdr:col>
      <xdr:colOff>343175</xdr:colOff>
      <xdr:row>19</xdr:row>
      <xdr:rowOff>9627</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200025" y="3009900"/>
          <a:ext cx="1971950" cy="733527"/>
        </a:xfrm>
        <a:prstGeom prst="rect">
          <a:avLst/>
        </a:prstGeom>
      </xdr:spPr>
    </xdr:pic>
    <xdr:clientData/>
  </xdr:twoCellAnchor>
  <xdr:twoCellAnchor editAs="oneCell">
    <xdr:from>
      <xdr:col>3</xdr:col>
      <xdr:colOff>466725</xdr:colOff>
      <xdr:row>15</xdr:row>
      <xdr:rowOff>19050</xdr:rowOff>
    </xdr:from>
    <xdr:to>
      <xdr:col>7</xdr:col>
      <xdr:colOff>275</xdr:colOff>
      <xdr:row>19</xdr:row>
      <xdr:rowOff>47735</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stretch>
          <a:fillRect/>
        </a:stretch>
      </xdr:blipFill>
      <xdr:spPr>
        <a:xfrm>
          <a:off x="2295525" y="2990850"/>
          <a:ext cx="1971950" cy="790685"/>
        </a:xfrm>
        <a:prstGeom prst="rect">
          <a:avLst/>
        </a:prstGeom>
      </xdr:spPr>
    </xdr:pic>
    <xdr:clientData/>
  </xdr:twoCellAnchor>
  <xdr:twoCellAnchor editAs="oneCell">
    <xdr:from>
      <xdr:col>7</xdr:col>
      <xdr:colOff>28575</xdr:colOff>
      <xdr:row>15</xdr:row>
      <xdr:rowOff>104775</xdr:rowOff>
    </xdr:from>
    <xdr:to>
      <xdr:col>9</xdr:col>
      <xdr:colOff>47798</xdr:colOff>
      <xdr:row>18</xdr:row>
      <xdr:rowOff>123907</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a:stretch>
          <a:fillRect/>
        </a:stretch>
      </xdr:blipFill>
      <xdr:spPr>
        <a:xfrm>
          <a:off x="4295775" y="3076575"/>
          <a:ext cx="1238423" cy="590632"/>
        </a:xfrm>
        <a:prstGeom prst="rect">
          <a:avLst/>
        </a:prstGeom>
      </xdr:spPr>
    </xdr:pic>
    <xdr:clientData/>
  </xdr:twoCellAnchor>
  <xdr:twoCellAnchor editAs="oneCell">
    <xdr:from>
      <xdr:col>9</xdr:col>
      <xdr:colOff>0</xdr:colOff>
      <xdr:row>15</xdr:row>
      <xdr:rowOff>76200</xdr:rowOff>
    </xdr:from>
    <xdr:to>
      <xdr:col>12</xdr:col>
      <xdr:colOff>255</xdr:colOff>
      <xdr:row>19</xdr:row>
      <xdr:rowOff>38201</xdr:rowOff>
    </xdr:to>
    <xdr:pic>
      <xdr:nvPicPr>
        <xdr:cNvPr id="7" name="Pictur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6"/>
        <a:stretch>
          <a:fillRect/>
        </a:stretch>
      </xdr:blipFill>
      <xdr:spPr>
        <a:xfrm>
          <a:off x="5486400" y="3048000"/>
          <a:ext cx="1829055" cy="724001"/>
        </a:xfrm>
        <a:prstGeom prst="rect">
          <a:avLst/>
        </a:prstGeom>
      </xdr:spPr>
    </xdr:pic>
    <xdr:clientData/>
  </xdr:twoCellAnchor>
  <xdr:twoCellAnchor editAs="oneCell">
    <xdr:from>
      <xdr:col>11</xdr:col>
      <xdr:colOff>457200</xdr:colOff>
      <xdr:row>15</xdr:row>
      <xdr:rowOff>104775</xdr:rowOff>
    </xdr:from>
    <xdr:to>
      <xdr:col>16</xdr:col>
      <xdr:colOff>9888</xdr:colOff>
      <xdr:row>18</xdr:row>
      <xdr:rowOff>133434</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7"/>
        <a:stretch>
          <a:fillRect/>
        </a:stretch>
      </xdr:blipFill>
      <xdr:spPr>
        <a:xfrm>
          <a:off x="7162800" y="3076575"/>
          <a:ext cx="2600688" cy="600159"/>
        </a:xfrm>
        <a:prstGeom prst="rect">
          <a:avLst/>
        </a:prstGeom>
      </xdr:spPr>
    </xdr:pic>
    <xdr:clientData/>
  </xdr:twoCellAnchor>
  <xdr:twoCellAnchor>
    <xdr:from>
      <xdr:col>11</xdr:col>
      <xdr:colOff>228600</xdr:colOff>
      <xdr:row>0</xdr:row>
      <xdr:rowOff>114300</xdr:rowOff>
    </xdr:from>
    <xdr:to>
      <xdr:col>15</xdr:col>
      <xdr:colOff>502025</xdr:colOff>
      <xdr:row>1</xdr:row>
      <xdr:rowOff>215152</xdr:rowOff>
    </xdr:to>
    <xdr:sp macro="" textlink="">
      <xdr:nvSpPr>
        <xdr:cNvPr id="9" name="TextBox 8">
          <a:hlinkClick xmlns:r="http://schemas.openxmlformats.org/officeDocument/2006/relationships" r:id="rId8"/>
          <a:extLst>
            <a:ext uri="{FF2B5EF4-FFF2-40B4-BE49-F238E27FC236}">
              <a16:creationId xmlns:a16="http://schemas.microsoft.com/office/drawing/2014/main" id="{00000000-0008-0000-0A00-000009000000}"/>
            </a:ext>
          </a:extLst>
        </xdr:cNvPr>
        <xdr:cNvSpPr txBox="1"/>
      </xdr:nvSpPr>
      <xdr:spPr>
        <a:xfrm>
          <a:off x="6934200" y="114300"/>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476250</xdr:colOff>
      <xdr:row>2</xdr:row>
      <xdr:rowOff>123825</xdr:rowOff>
    </xdr:from>
    <xdr:to>
      <xdr:col>10</xdr:col>
      <xdr:colOff>342900</xdr:colOff>
      <xdr:row>36</xdr:row>
      <xdr:rowOff>111543</xdr:rowOff>
    </xdr:to>
    <xdr:sp macro="" textlink="">
      <xdr:nvSpPr>
        <xdr:cNvPr id="2" name="TextBox 6">
          <a:extLst>
            <a:ext uri="{FF2B5EF4-FFF2-40B4-BE49-F238E27FC236}">
              <a16:creationId xmlns:a16="http://schemas.microsoft.com/office/drawing/2014/main" id="{00000000-0008-0000-0B00-000002000000}"/>
            </a:ext>
          </a:extLst>
        </xdr:cNvPr>
        <xdr:cNvSpPr txBox="1"/>
      </xdr:nvSpPr>
      <xdr:spPr>
        <a:xfrm>
          <a:off x="476250" y="504825"/>
          <a:ext cx="5962650" cy="6464718"/>
        </a:xfrm>
        <a:prstGeom prst="rect">
          <a:avLst/>
        </a:prstGeom>
        <a:noFill/>
        <a:ln>
          <a:solidFill>
            <a:schemeClr val="accent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defTabSz="609630"/>
          <a:r>
            <a:rPr lang="en-US" sz="1100">
              <a:solidFill>
                <a:prstClr val="black"/>
              </a:solidFill>
              <a:latin typeface="Aptos" panose="020B0004020202020204" pitchFamily="34" charset="0"/>
              <a:cs typeface="Times New Roman" panose="02020603050405020304" pitchFamily="18" charset="0"/>
            </a:rPr>
            <a:t>FM, using its previous acquisitions of Outboard Marine Corporation (OMC) and majority of the General Motors Corporation (GMC) rotary engine division, as the basis and foundation, further developed the engine technology and made it commercially viable. Freedom Motors and its technology partner, Moller International, together hold 12 engine related mechanical patents, 5 design patents in total and many other technological patents making up to 49 in total. FM has many trade secrets and 8 patents in process or ready to be processed.</a:t>
          </a:r>
        </a:p>
        <a:p>
          <a:pPr algn="just" defTabSz="609630"/>
          <a:endParaRPr lang="en-US" sz="1100">
            <a:solidFill>
              <a:prstClr val="black"/>
            </a:solidFill>
            <a:latin typeface="Aptos" panose="020B0004020202020204" pitchFamily="34" charset="0"/>
            <a:cs typeface="Times New Roman" panose="02020603050405020304" pitchFamily="18" charset="0"/>
          </a:endParaRPr>
        </a:p>
        <a:p>
          <a:pPr algn="just" defTabSz="609630"/>
          <a:r>
            <a:rPr lang="en-US" sz="1100">
              <a:solidFill>
                <a:prstClr val="black"/>
              </a:solidFill>
              <a:latin typeface="Aptos" panose="020B0004020202020204" pitchFamily="34" charset="0"/>
              <a:cs typeface="Times New Roman" panose="02020603050405020304" pitchFamily="18" charset="0"/>
            </a:rPr>
            <a:t>The patents concerning aircraft are also included in this list. The success of Moller aircraft is only possible with the Freedom Motors engines, and therefore, it is important to understand that these patents are related to each other for the overall success of the project. </a:t>
          </a:r>
          <a:r>
            <a:rPr lang="en-US" sz="1100" u="sng">
              <a:solidFill>
                <a:srgbClr val="FF0000"/>
              </a:solidFill>
              <a:latin typeface="Aptos" panose="020B0004020202020204" pitchFamily="34" charset="0"/>
              <a:cs typeface="Times New Roman" panose="02020603050405020304" pitchFamily="18" charset="0"/>
            </a:rPr>
            <a:t>The full potential of our patents are only realized when combined with our trade secrets.</a:t>
          </a:r>
        </a:p>
        <a:p>
          <a:pPr algn="just" defTabSz="609630"/>
          <a:endParaRPr lang="en-US" sz="1100">
            <a:solidFill>
              <a:prstClr val="black"/>
            </a:solidFill>
            <a:latin typeface="Aptos" panose="020B0004020202020204" pitchFamily="34" charset="0"/>
            <a:cs typeface="Times New Roman" panose="02020603050405020304" pitchFamily="18" charset="0"/>
          </a:endParaRPr>
        </a:p>
        <a:p>
          <a:pPr algn="just" defTabSz="609630"/>
          <a:r>
            <a:rPr lang="en-US" sz="1100">
              <a:solidFill>
                <a:prstClr val="black"/>
              </a:solidFill>
              <a:latin typeface="Aptos" panose="020B0004020202020204" pitchFamily="34" charset="0"/>
              <a:cs typeface="Times New Roman" panose="02020603050405020304" pitchFamily="18" charset="0"/>
            </a:rPr>
            <a:t>TOP 10 Patents…</a:t>
          </a:r>
        </a:p>
        <a:p>
          <a:pPr algn="just" defTabSz="609630"/>
          <a:endParaRPr lang="en-US" sz="1100">
            <a:solidFill>
              <a:prstClr val="black"/>
            </a:solidFill>
            <a:latin typeface="Aptos" panose="020B0004020202020204" pitchFamily="34" charset="0"/>
            <a:cs typeface="Times New Roman" panose="02020603050405020304" pitchFamily="18" charset="0"/>
          </a:endParaRPr>
        </a:p>
        <a:p>
          <a:pPr algn="just" defTabSz="609630"/>
          <a:r>
            <a:rPr lang="en-US" sz="1100">
              <a:solidFill>
                <a:prstClr val="black"/>
              </a:solidFill>
              <a:latin typeface="Aptos" panose="020B0004020202020204" pitchFamily="34" charset="0"/>
              <a:cs typeface="Times New Roman" panose="02020603050405020304" pitchFamily="18" charset="0"/>
            </a:rPr>
            <a:t>1). Patent D736,140</a:t>
          </a:r>
        </a:p>
        <a:p>
          <a:pPr algn="just" defTabSz="609630"/>
          <a:r>
            <a:rPr lang="en-US" sz="1100">
              <a:solidFill>
                <a:prstClr val="black"/>
              </a:solidFill>
              <a:latin typeface="Aptos" panose="020B0004020202020204" pitchFamily="34" charset="0"/>
              <a:cs typeface="Times New Roman" panose="02020603050405020304" pitchFamily="18" charset="0"/>
            </a:rPr>
            <a:t>	“Vertical takeoff and landing vehicle” - Aug 11, 2015 </a:t>
          </a:r>
        </a:p>
        <a:p>
          <a:pPr algn="just" defTabSz="609630"/>
          <a:r>
            <a:rPr lang="en-US" sz="1100">
              <a:solidFill>
                <a:prstClr val="black"/>
              </a:solidFill>
              <a:latin typeface="Aptos" panose="020B0004020202020204" pitchFamily="34" charset="0"/>
              <a:cs typeface="Times New Roman" panose="02020603050405020304" pitchFamily="18" charset="0"/>
            </a:rPr>
            <a:t>2). Patent D498,201</a:t>
          </a:r>
        </a:p>
        <a:p>
          <a:pPr algn="just" defTabSz="609630"/>
          <a:r>
            <a:rPr lang="en-US" sz="1100">
              <a:solidFill>
                <a:prstClr val="black"/>
              </a:solidFill>
              <a:latin typeface="Aptos" panose="020B0004020202020204" pitchFamily="34" charset="0"/>
              <a:cs typeface="Times New Roman" panose="02020603050405020304" pitchFamily="18" charset="0"/>
            </a:rPr>
            <a:t>	“Vertical takeoff and landing aircraft” - Nov 4, 2004</a:t>
          </a:r>
        </a:p>
        <a:p>
          <a:pPr algn="just" defTabSz="609630"/>
          <a:r>
            <a:rPr lang="en-US" sz="1100">
              <a:solidFill>
                <a:prstClr val="black"/>
              </a:solidFill>
              <a:latin typeface="Aptos" panose="020B0004020202020204" pitchFamily="34" charset="0"/>
              <a:cs typeface="Times New Roman" panose="02020603050405020304" pitchFamily="18" charset="0"/>
            </a:rPr>
            <a:t>3). Patent 6,808,140</a:t>
          </a:r>
        </a:p>
        <a:p>
          <a:pPr algn="just" defTabSz="609630"/>
          <a:r>
            <a:rPr lang="en-US" sz="1100">
              <a:solidFill>
                <a:prstClr val="black"/>
              </a:solidFill>
              <a:latin typeface="Aptos" panose="020B0004020202020204" pitchFamily="34" charset="0"/>
              <a:cs typeface="Times New Roman" panose="02020603050405020304" pitchFamily="18" charset="0"/>
            </a:rPr>
            <a:t>	“Vertical take-off and landing vehicles” - Oct 26, 2004  </a:t>
          </a:r>
        </a:p>
        <a:p>
          <a:pPr algn="just" defTabSz="609630"/>
          <a:r>
            <a:rPr lang="en-US" sz="1100">
              <a:solidFill>
                <a:prstClr val="black"/>
              </a:solidFill>
              <a:latin typeface="Aptos" panose="020B0004020202020204" pitchFamily="34" charset="0"/>
              <a:cs typeface="Times New Roman" panose="02020603050405020304" pitchFamily="18" charset="0"/>
            </a:rPr>
            <a:t>4). Patent 6,450,445</a:t>
          </a:r>
        </a:p>
        <a:p>
          <a:pPr algn="just" defTabSz="609630"/>
          <a:r>
            <a:rPr lang="en-US" sz="1100">
              <a:solidFill>
                <a:prstClr val="black"/>
              </a:solidFill>
              <a:latin typeface="Aptos" panose="020B0004020202020204" pitchFamily="34" charset="0"/>
              <a:cs typeface="Times New Roman" panose="02020603050405020304" pitchFamily="18" charset="0"/>
            </a:rPr>
            <a:t>	“Stabilizing control apparatus for robotic or remotely controlled flying platform” - Sept 17,2002  </a:t>
          </a:r>
        </a:p>
        <a:p>
          <a:pPr algn="just" defTabSz="609630"/>
          <a:r>
            <a:rPr lang="en-US" sz="1100">
              <a:solidFill>
                <a:prstClr val="black"/>
              </a:solidFill>
              <a:latin typeface="Aptos" panose="020B0004020202020204" pitchFamily="34" charset="0"/>
              <a:cs typeface="Times New Roman" panose="02020603050405020304" pitchFamily="18" charset="0"/>
            </a:rPr>
            <a:t>5). Patent 6,325,603</a:t>
          </a:r>
        </a:p>
        <a:p>
          <a:pPr algn="just" defTabSz="609630"/>
          <a:r>
            <a:rPr lang="en-US" sz="1100">
              <a:solidFill>
                <a:prstClr val="black"/>
              </a:solidFill>
              <a:latin typeface="Aptos" panose="020B0004020202020204" pitchFamily="34" charset="0"/>
              <a:cs typeface="Times New Roman" panose="02020603050405020304" pitchFamily="18" charset="0"/>
            </a:rPr>
            <a:t>	“Charge cooled rotary engine” - Dec 4, 2001 </a:t>
          </a:r>
        </a:p>
        <a:p>
          <a:pPr algn="just" defTabSz="609630"/>
          <a:r>
            <a:rPr lang="en-US" sz="1100">
              <a:solidFill>
                <a:prstClr val="black"/>
              </a:solidFill>
              <a:latin typeface="Aptos" panose="020B0004020202020204" pitchFamily="34" charset="0"/>
              <a:cs typeface="Times New Roman" panose="02020603050405020304" pitchFamily="18" charset="0"/>
            </a:rPr>
            <a:t>6). Patent 6,164,942</a:t>
          </a:r>
        </a:p>
        <a:p>
          <a:pPr algn="just" defTabSz="609630"/>
          <a:r>
            <a:rPr lang="en-US" sz="1100">
              <a:solidFill>
                <a:prstClr val="black"/>
              </a:solidFill>
              <a:latin typeface="Aptos" panose="020B0004020202020204" pitchFamily="34" charset="0"/>
              <a:cs typeface="Times New Roman" panose="02020603050405020304" pitchFamily="18" charset="0"/>
            </a:rPr>
            <a:t>	“Rotary engine having enhanced charge cooling and lubrication” - Dec 26, 2000</a:t>
          </a:r>
        </a:p>
        <a:p>
          <a:pPr algn="just" defTabSz="609630"/>
          <a:r>
            <a:rPr lang="en-US" sz="1100">
              <a:solidFill>
                <a:prstClr val="black"/>
              </a:solidFill>
              <a:latin typeface="Aptos" panose="020B0004020202020204" pitchFamily="34" charset="0"/>
              <a:cs typeface="Times New Roman" panose="02020603050405020304" pitchFamily="18" charset="0"/>
            </a:rPr>
            <a:t>7). Patent 5,413,877</a:t>
          </a:r>
        </a:p>
        <a:p>
          <a:pPr algn="just" defTabSz="609630"/>
          <a:r>
            <a:rPr lang="en-US" sz="1100">
              <a:solidFill>
                <a:prstClr val="black"/>
              </a:solidFill>
              <a:latin typeface="Aptos" panose="020B0004020202020204" pitchFamily="34" charset="0"/>
              <a:cs typeface="Times New Roman" panose="02020603050405020304" pitchFamily="18" charset="0"/>
            </a:rPr>
            <a:t>	“Combination thermal barrier and wear coating for internal combustion engines” - May 9, 1995  </a:t>
          </a:r>
        </a:p>
        <a:p>
          <a:pPr algn="just" defTabSz="609630"/>
          <a:r>
            <a:rPr lang="en-US" sz="1100">
              <a:solidFill>
                <a:prstClr val="black"/>
              </a:solidFill>
              <a:latin typeface="Aptos" panose="020B0004020202020204" pitchFamily="34" charset="0"/>
              <a:cs typeface="Times New Roman" panose="02020603050405020304" pitchFamily="18" charset="0"/>
            </a:rPr>
            <a:t>8). Patent 5,115,996</a:t>
          </a:r>
        </a:p>
        <a:p>
          <a:pPr algn="just" defTabSz="609630"/>
          <a:r>
            <a:rPr lang="en-US" sz="1100">
              <a:solidFill>
                <a:prstClr val="black"/>
              </a:solidFill>
              <a:latin typeface="Aptos" panose="020B0004020202020204" pitchFamily="34" charset="0"/>
              <a:cs typeface="Times New Roman" panose="02020603050405020304" pitchFamily="18" charset="0"/>
            </a:rPr>
            <a:t>	“VTOL aircraft” - May 26, 1992</a:t>
          </a:r>
        </a:p>
        <a:p>
          <a:pPr algn="just" defTabSz="609630"/>
          <a:r>
            <a:rPr lang="en-US" sz="1100">
              <a:solidFill>
                <a:prstClr val="black"/>
              </a:solidFill>
              <a:latin typeface="Aptos" panose="020B0004020202020204" pitchFamily="34" charset="0"/>
              <a:cs typeface="Times New Roman" panose="02020603050405020304" pitchFamily="18" charset="0"/>
            </a:rPr>
            <a:t>9). Patent D312,068</a:t>
          </a:r>
        </a:p>
        <a:p>
          <a:pPr algn="just" defTabSz="609630"/>
          <a:r>
            <a:rPr lang="en-US" sz="1100">
              <a:solidFill>
                <a:prstClr val="black"/>
              </a:solidFill>
              <a:latin typeface="Aptos" panose="020B0004020202020204" pitchFamily="34" charset="0"/>
              <a:cs typeface="Times New Roman" panose="02020603050405020304" pitchFamily="18" charset="0"/>
            </a:rPr>
            <a:t>	“Vertical take-off and landing aircraft” - Nov 13, 1990 </a:t>
          </a:r>
        </a:p>
        <a:p>
          <a:pPr algn="just" defTabSz="609630"/>
          <a:r>
            <a:rPr lang="en-US" sz="1100">
              <a:solidFill>
                <a:prstClr val="black"/>
              </a:solidFill>
              <a:latin typeface="Aptos" panose="020B0004020202020204" pitchFamily="34" charset="0"/>
              <a:cs typeface="Times New Roman" panose="02020603050405020304" pitchFamily="18" charset="0"/>
            </a:rPr>
            <a:t>10). Patent 4,795,111</a:t>
          </a:r>
        </a:p>
        <a:p>
          <a:pPr algn="just" defTabSz="609630"/>
          <a:r>
            <a:rPr lang="en-US" sz="1100">
              <a:solidFill>
                <a:prstClr val="black"/>
              </a:solidFill>
              <a:latin typeface="Aptos" panose="020B0004020202020204" pitchFamily="34" charset="0"/>
              <a:cs typeface="Times New Roman" panose="02020603050405020304" pitchFamily="18" charset="0"/>
            </a:rPr>
            <a:t>	“Robotic or remotely controlled flying platform” - Jan 3, 1989</a:t>
          </a:r>
        </a:p>
        <a:p>
          <a:pPr marL="342900" indent="-342900" algn="just" defTabSz="609630">
            <a:buFont typeface="+mj-lt"/>
            <a:buAutoNum type="arabicPeriod"/>
          </a:pPr>
          <a:endParaRPr lang="en-US" sz="1100">
            <a:solidFill>
              <a:prstClr val="black"/>
            </a:solidFill>
            <a:latin typeface="Aptos" panose="020B0004020202020204" pitchFamily="34" charset="0"/>
            <a:cs typeface="Times New Roman" panose="02020603050405020304" pitchFamily="18" charset="0"/>
          </a:endParaRPr>
        </a:p>
      </xdr:txBody>
    </xdr:sp>
    <xdr:clientData/>
  </xdr:twoCellAnchor>
  <xdr:twoCellAnchor>
    <xdr:from>
      <xdr:col>10</xdr:col>
      <xdr:colOff>561974</xdr:colOff>
      <xdr:row>2</xdr:row>
      <xdr:rowOff>123825</xdr:rowOff>
    </xdr:from>
    <xdr:to>
      <xdr:col>25</xdr:col>
      <xdr:colOff>304799</xdr:colOff>
      <xdr:row>36</xdr:row>
      <xdr:rowOff>28575</xdr:rowOff>
    </xdr:to>
    <xdr:sp macro="" textlink="">
      <xdr:nvSpPr>
        <xdr:cNvPr id="3" name="TextBox 7">
          <a:extLst>
            <a:ext uri="{FF2B5EF4-FFF2-40B4-BE49-F238E27FC236}">
              <a16:creationId xmlns:a16="http://schemas.microsoft.com/office/drawing/2014/main" id="{00000000-0008-0000-0B00-000003000000}"/>
            </a:ext>
          </a:extLst>
        </xdr:cNvPr>
        <xdr:cNvSpPr txBox="1"/>
      </xdr:nvSpPr>
      <xdr:spPr>
        <a:xfrm>
          <a:off x="6657974" y="504825"/>
          <a:ext cx="8886825" cy="6381750"/>
        </a:xfrm>
        <a:prstGeom prst="rect">
          <a:avLst/>
        </a:prstGeom>
        <a:noFill/>
        <a:ln>
          <a:solidFill>
            <a:schemeClr val="accent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defTabSz="609630" rtl="0" eaLnBrk="1" latinLnBrk="0" hangingPunct="1"/>
          <a:r>
            <a:rPr lang="en-US" sz="1100" kern="1200">
              <a:solidFill>
                <a:prstClr val="black"/>
              </a:solidFill>
              <a:latin typeface="Aptos" panose="020B0004020202020204" pitchFamily="34" charset="0"/>
              <a:ea typeface="+mn-ea"/>
              <a:cs typeface="Times New Roman" panose="02020603050405020304" pitchFamily="18" charset="0"/>
            </a:rPr>
            <a:t>Freedom Motors (FM) did not file for any new patents in the last few years. It was strategically planned to address</a:t>
          </a:r>
        </a:p>
        <a:p>
          <a:pPr algn="just" defTabSz="609630" rtl="0" eaLnBrk="1" latinLnBrk="0" hangingPunct="1"/>
          <a:endParaRPr lang="en-US" sz="1100" kern="1200">
            <a:solidFill>
              <a:prstClr val="black"/>
            </a:solidFill>
            <a:latin typeface="Aptos" panose="020B0004020202020204" pitchFamily="34" charset="0"/>
            <a:ea typeface="+mn-ea"/>
            <a:cs typeface="Times New Roman" panose="02020603050405020304" pitchFamily="18" charset="0"/>
          </a:endParaRPr>
        </a:p>
        <a:p>
          <a:pPr algn="just" defTabSz="609630" rtl="0" eaLnBrk="1" latinLnBrk="0" hangingPunct="1"/>
          <a:r>
            <a:rPr lang="en-US" sz="1100" b="1" kern="1200">
              <a:solidFill>
                <a:prstClr val="black"/>
              </a:solidFill>
              <a:latin typeface="Aptos" panose="020B0004020202020204" pitchFamily="34" charset="0"/>
              <a:ea typeface="+mn-ea"/>
              <a:cs typeface="Times New Roman" panose="02020603050405020304" pitchFamily="18" charset="0"/>
            </a:rPr>
            <a:t>a).</a:t>
          </a:r>
          <a:r>
            <a:rPr lang="en-US" sz="1100" kern="1200">
              <a:solidFill>
                <a:prstClr val="black"/>
              </a:solidFill>
              <a:latin typeface="Aptos" panose="020B0004020202020204" pitchFamily="34" charset="0"/>
              <a:ea typeface="+mn-ea"/>
              <a:cs typeface="Times New Roman" panose="02020603050405020304" pitchFamily="18" charset="0"/>
            </a:rPr>
            <a:t> The research and development of additional ways to extend the engine life, improve fuel efficiency, and increase power output, which has led to several additional claims to be patented.</a:t>
          </a:r>
        </a:p>
        <a:p>
          <a:pPr algn="just" defTabSz="609630" rtl="0" eaLnBrk="1" latinLnBrk="0" hangingPunct="1"/>
          <a:r>
            <a:rPr lang="en-US" sz="1100" b="1" kern="1200">
              <a:solidFill>
                <a:prstClr val="black"/>
              </a:solidFill>
              <a:latin typeface="Aptos" panose="020B0004020202020204" pitchFamily="34" charset="0"/>
              <a:ea typeface="+mn-ea"/>
              <a:cs typeface="Times New Roman" panose="02020603050405020304" pitchFamily="18" charset="0"/>
            </a:rPr>
            <a:t>b).</a:t>
          </a:r>
          <a:r>
            <a:rPr lang="en-US" sz="1100" kern="1200">
              <a:solidFill>
                <a:prstClr val="black"/>
              </a:solidFill>
              <a:latin typeface="Aptos" panose="020B0004020202020204" pitchFamily="34" charset="0"/>
              <a:ea typeface="+mn-ea"/>
              <a:cs typeface="Times New Roman" panose="02020603050405020304" pitchFamily="18" charset="0"/>
            </a:rPr>
            <a:t> The mass manufacturing that was planned to occur only after significant and satisfactory improvements in critical areas like fuel efficiency and power output.</a:t>
          </a:r>
        </a:p>
        <a:p>
          <a:pPr algn="just" defTabSz="609630" rtl="0" eaLnBrk="1" latinLnBrk="0" hangingPunct="1"/>
          <a:r>
            <a:rPr lang="en-US" sz="1100" b="1" kern="1200">
              <a:solidFill>
                <a:prstClr val="black"/>
              </a:solidFill>
              <a:latin typeface="Aptos" panose="020B0004020202020204" pitchFamily="34" charset="0"/>
              <a:ea typeface="+mn-ea"/>
              <a:cs typeface="Times New Roman" panose="02020603050405020304" pitchFamily="18" charset="0"/>
            </a:rPr>
            <a:t>c).</a:t>
          </a:r>
          <a:r>
            <a:rPr lang="en-US" sz="1100" kern="1200">
              <a:solidFill>
                <a:prstClr val="black"/>
              </a:solidFill>
              <a:latin typeface="Aptos" panose="020B0004020202020204" pitchFamily="34" charset="0"/>
              <a:ea typeface="+mn-ea"/>
              <a:cs typeface="Times New Roman" panose="02020603050405020304" pitchFamily="18" charset="0"/>
            </a:rPr>
            <a:t> The US and worldwide patents which takes significant time, funds, and human resources. FM planned to raise funds for manufacturing and patenting at the same time.</a:t>
          </a:r>
        </a:p>
        <a:p>
          <a:pPr algn="just" defTabSz="609630" rtl="0" eaLnBrk="1" latinLnBrk="0" hangingPunct="1"/>
          <a:r>
            <a:rPr lang="en-US" sz="1100" b="1" kern="1200">
              <a:solidFill>
                <a:prstClr val="black"/>
              </a:solidFill>
              <a:latin typeface="Aptos" panose="020B0004020202020204" pitchFamily="34" charset="0"/>
              <a:ea typeface="+mn-ea"/>
              <a:cs typeface="Times New Roman" panose="02020603050405020304" pitchFamily="18" charset="0"/>
            </a:rPr>
            <a:t>d).</a:t>
          </a:r>
          <a:r>
            <a:rPr lang="en-US" sz="1100" kern="1200">
              <a:solidFill>
                <a:prstClr val="black"/>
              </a:solidFill>
              <a:latin typeface="Aptos" panose="020B0004020202020204" pitchFamily="34" charset="0"/>
              <a:ea typeface="+mn-ea"/>
              <a:cs typeface="Times New Roman" panose="02020603050405020304" pitchFamily="18" charset="0"/>
            </a:rPr>
            <a:t> FM technology that has resulted in several patents and can be said with complete confidence based on Dr. Moller’s experience where over the years he has applied for and received over 15 patents, and never had a patent application rejected.</a:t>
          </a:r>
        </a:p>
        <a:p>
          <a:pPr algn="just" defTabSz="609630" rtl="0" eaLnBrk="1" latinLnBrk="0" hangingPunct="1"/>
          <a:r>
            <a:rPr lang="en-US" sz="1100" b="1" kern="1200">
              <a:solidFill>
                <a:prstClr val="black"/>
              </a:solidFill>
              <a:latin typeface="Aptos" panose="020B0004020202020204" pitchFamily="34" charset="0"/>
              <a:ea typeface="+mn-ea"/>
              <a:cs typeface="Times New Roman" panose="02020603050405020304" pitchFamily="18" charset="0"/>
            </a:rPr>
            <a:t>e).</a:t>
          </a:r>
          <a:r>
            <a:rPr lang="en-US" sz="1100" kern="1200">
              <a:solidFill>
                <a:prstClr val="black"/>
              </a:solidFill>
              <a:latin typeface="Aptos" panose="020B0004020202020204" pitchFamily="34" charset="0"/>
              <a:ea typeface="+mn-ea"/>
              <a:cs typeface="Times New Roman" panose="02020603050405020304" pitchFamily="18" charset="0"/>
            </a:rPr>
            <a:t> The previous patents to ensure they are usually combined with our trade secrets, so it becomes extremely hard to replicate by third parties, to realize the full potential in rotary engines.</a:t>
          </a:r>
        </a:p>
        <a:p>
          <a:pPr algn="just" defTabSz="609630" rtl="0" eaLnBrk="1" latinLnBrk="0" hangingPunct="1"/>
          <a:r>
            <a:rPr lang="en-US" sz="1100" b="1" kern="1200">
              <a:solidFill>
                <a:prstClr val="black"/>
              </a:solidFill>
              <a:latin typeface="Aptos" panose="020B0004020202020204" pitchFamily="34" charset="0"/>
              <a:ea typeface="+mn-ea"/>
              <a:cs typeface="Times New Roman" panose="02020603050405020304" pitchFamily="18" charset="0"/>
            </a:rPr>
            <a:t>f).</a:t>
          </a:r>
          <a:r>
            <a:rPr lang="en-US" sz="1100" kern="1200">
              <a:solidFill>
                <a:prstClr val="black"/>
              </a:solidFill>
              <a:latin typeface="Aptos" panose="020B0004020202020204" pitchFamily="34" charset="0"/>
              <a:ea typeface="+mn-ea"/>
              <a:cs typeface="Times New Roman" panose="02020603050405020304" pitchFamily="18" charset="0"/>
            </a:rPr>
            <a:t> FM’s numerous trade secrets without patenting as they are very sensitive and can’t be reverse engineered. For example, FM uses a mixture of Shell Rotella oil and other materials for metered lubrication (patented technology). The oil mixture that goes into the engine during expansion and compression cycles has a secret recipe that will be kept as trade secret. Similarly, there are many other trade secrets.</a:t>
          </a:r>
        </a:p>
        <a:p>
          <a:pPr algn="just" defTabSz="609630" rtl="0" eaLnBrk="1" latinLnBrk="0" hangingPunct="1"/>
          <a:endParaRPr lang="en-US" sz="1100" kern="1200">
            <a:solidFill>
              <a:prstClr val="black"/>
            </a:solidFill>
            <a:latin typeface="Aptos" panose="020B0004020202020204" pitchFamily="34" charset="0"/>
            <a:ea typeface="+mn-ea"/>
            <a:cs typeface="Times New Roman" panose="02020603050405020304" pitchFamily="18" charset="0"/>
          </a:endParaRPr>
        </a:p>
        <a:p>
          <a:pPr algn="just" defTabSz="609630" rtl="0" eaLnBrk="1" latinLnBrk="0" hangingPunct="1"/>
          <a:r>
            <a:rPr lang="en-US" sz="1100" b="1" u="sng" kern="1200">
              <a:solidFill>
                <a:prstClr val="black"/>
              </a:solidFill>
              <a:latin typeface="Aptos" panose="020B0004020202020204" pitchFamily="34" charset="0"/>
              <a:ea typeface="+mn-ea"/>
              <a:cs typeface="Times New Roman" panose="02020603050405020304" pitchFamily="18" charset="0"/>
            </a:rPr>
            <a:t>Proposed Patents</a:t>
          </a:r>
        </a:p>
        <a:p>
          <a:pPr algn="just" defTabSz="609630" rtl="0" eaLnBrk="1" latinLnBrk="0" hangingPunct="1"/>
          <a:endParaRPr lang="en-US" sz="1100" kern="1200">
            <a:solidFill>
              <a:prstClr val="black"/>
            </a:solidFill>
            <a:latin typeface="Aptos" panose="020B0004020202020204" pitchFamily="34" charset="0"/>
            <a:ea typeface="+mn-ea"/>
            <a:cs typeface="Times New Roman" panose="02020603050405020304" pitchFamily="18" charset="0"/>
          </a:endParaRPr>
        </a:p>
        <a:p>
          <a:pPr algn="just" defTabSz="609630" rtl="0" eaLnBrk="1" latinLnBrk="0" hangingPunct="1"/>
          <a:r>
            <a:rPr lang="en-US" sz="1100" b="1" kern="1200">
              <a:solidFill>
                <a:prstClr val="black"/>
              </a:solidFill>
              <a:latin typeface="Aptos" panose="020B0004020202020204" pitchFamily="34" charset="0"/>
              <a:ea typeface="+mn-ea"/>
              <a:cs typeface="Times New Roman" panose="02020603050405020304" pitchFamily="18" charset="0"/>
            </a:rPr>
            <a:t>1).</a:t>
          </a:r>
          <a:r>
            <a:rPr lang="en-US" sz="1100" kern="1200">
              <a:solidFill>
                <a:prstClr val="black"/>
              </a:solidFill>
              <a:latin typeface="Aptos" panose="020B0004020202020204" pitchFamily="34" charset="0"/>
              <a:ea typeface="+mn-ea"/>
              <a:cs typeface="Times New Roman" panose="02020603050405020304" pitchFamily="18" charset="0"/>
            </a:rPr>
            <a:t> A specific combination of engine displacement, engine RPM and brake mean effective pressure (BMEP) that allows the Rotapower® engine to operate on the Otto cycle while using diesel fuel.</a:t>
          </a:r>
        </a:p>
        <a:p>
          <a:pPr algn="just" defTabSz="609630" rtl="0" eaLnBrk="1" latinLnBrk="0" hangingPunct="1"/>
          <a:r>
            <a:rPr lang="en-US" sz="1100" b="1" kern="1200">
              <a:solidFill>
                <a:prstClr val="black"/>
              </a:solidFill>
              <a:latin typeface="Aptos" panose="020B0004020202020204" pitchFamily="34" charset="0"/>
              <a:ea typeface="+mn-ea"/>
              <a:cs typeface="Times New Roman" panose="02020603050405020304" pitchFamily="18" charset="0"/>
            </a:rPr>
            <a:t>2).</a:t>
          </a:r>
          <a:r>
            <a:rPr lang="en-US" sz="1100" kern="1200">
              <a:solidFill>
                <a:prstClr val="black"/>
              </a:solidFill>
              <a:latin typeface="Aptos" panose="020B0004020202020204" pitchFamily="34" charset="0"/>
              <a:ea typeface="+mn-ea"/>
              <a:cs typeface="Times New Roman" panose="02020603050405020304" pitchFamily="18" charset="0"/>
            </a:rPr>
            <a:t> A much improved fuel/air charge pathway through the rotor developed to improve cooling of the rotor and vaporization of the charge.</a:t>
          </a:r>
        </a:p>
        <a:p>
          <a:pPr algn="just" defTabSz="609630" rtl="0" eaLnBrk="1" latinLnBrk="0" hangingPunct="1"/>
          <a:r>
            <a:rPr lang="en-US" sz="1100" b="1" kern="1200">
              <a:solidFill>
                <a:prstClr val="black"/>
              </a:solidFill>
              <a:latin typeface="Aptos" panose="020B0004020202020204" pitchFamily="34" charset="0"/>
              <a:ea typeface="+mn-ea"/>
              <a:cs typeface="Times New Roman" panose="02020603050405020304" pitchFamily="18" charset="0"/>
            </a:rPr>
            <a:t>3).</a:t>
          </a:r>
          <a:r>
            <a:rPr lang="en-US" sz="1100" kern="1200">
              <a:solidFill>
                <a:prstClr val="black"/>
              </a:solidFill>
              <a:latin typeface="Aptos" panose="020B0004020202020204" pitchFamily="34" charset="0"/>
              <a:ea typeface="+mn-ea"/>
              <a:cs typeface="Times New Roman" panose="02020603050405020304" pitchFamily="18" charset="0"/>
            </a:rPr>
            <a:t> The new design further improved rotor cooling enough to allow the Rotapower® engine to produce two and one half times as much power for the same displacement as the OMC engine (102 hp from 530cc).</a:t>
          </a:r>
        </a:p>
        <a:p>
          <a:pPr algn="just" defTabSz="609630" rtl="0" eaLnBrk="1" latinLnBrk="0" hangingPunct="1"/>
          <a:r>
            <a:rPr lang="en-US" sz="1100" b="1" kern="1200">
              <a:solidFill>
                <a:prstClr val="black"/>
              </a:solidFill>
              <a:latin typeface="Aptos" panose="020B0004020202020204" pitchFamily="34" charset="0"/>
              <a:ea typeface="+mn-ea"/>
              <a:cs typeface="Times New Roman" panose="02020603050405020304" pitchFamily="18" charset="0"/>
            </a:rPr>
            <a:t>4).</a:t>
          </a:r>
          <a:r>
            <a:rPr lang="en-US" sz="1100" kern="1200">
              <a:solidFill>
                <a:prstClr val="black"/>
              </a:solidFill>
              <a:latin typeface="Aptos" panose="020B0004020202020204" pitchFamily="34" charset="0"/>
              <a:ea typeface="+mn-ea"/>
              <a:cs typeface="Times New Roman" panose="02020603050405020304" pitchFamily="18" charset="0"/>
            </a:rPr>
            <a:t> A compound version of the rotary engine where two rotors are able to function in series rather than parallel. </a:t>
          </a:r>
        </a:p>
        <a:p>
          <a:pPr algn="just" defTabSz="609630" rtl="0" eaLnBrk="1" latinLnBrk="0" hangingPunct="1"/>
          <a:r>
            <a:rPr lang="en-US" sz="1100" b="1" kern="1200">
              <a:solidFill>
                <a:prstClr val="black"/>
              </a:solidFill>
              <a:latin typeface="Aptos" panose="020B0004020202020204" pitchFamily="34" charset="0"/>
              <a:ea typeface="+mn-ea"/>
              <a:cs typeface="Times New Roman" panose="02020603050405020304" pitchFamily="18" charset="0"/>
            </a:rPr>
            <a:t>5).</a:t>
          </a:r>
          <a:r>
            <a:rPr lang="en-US" sz="1100" kern="1200">
              <a:solidFill>
                <a:prstClr val="black"/>
              </a:solidFill>
              <a:latin typeface="Aptos" panose="020B0004020202020204" pitchFamily="34" charset="0"/>
              <a:ea typeface="+mn-ea"/>
              <a:cs typeface="Times New Roman" panose="02020603050405020304" pitchFamily="18" charset="0"/>
            </a:rPr>
            <a:t> Unique one-way valve. The compound rotary engine requires a means to allow the charge to flow in one direction while not allowing it to flow in the reverse direction. </a:t>
          </a:r>
        </a:p>
        <a:p>
          <a:pPr algn="just" defTabSz="609630" rtl="0" eaLnBrk="1" latinLnBrk="0" hangingPunct="1"/>
          <a:r>
            <a:rPr lang="en-US" sz="1100" b="1" kern="1200">
              <a:solidFill>
                <a:prstClr val="black"/>
              </a:solidFill>
              <a:latin typeface="Aptos" panose="020B0004020202020204" pitchFamily="34" charset="0"/>
              <a:ea typeface="+mn-ea"/>
              <a:cs typeface="Times New Roman" panose="02020603050405020304" pitchFamily="18" charset="0"/>
            </a:rPr>
            <a:t>6).</a:t>
          </a:r>
          <a:r>
            <a:rPr lang="en-US" sz="1100" kern="1200">
              <a:solidFill>
                <a:prstClr val="black"/>
              </a:solidFill>
              <a:latin typeface="Aptos" panose="020B0004020202020204" pitchFamily="34" charset="0"/>
              <a:ea typeface="+mn-ea"/>
              <a:cs typeface="Times New Roman" panose="02020603050405020304" pitchFamily="18" charset="0"/>
            </a:rPr>
            <a:t> A rotor cooling arrangement employing a phase change of a liquid that allows almost unlimited cooling of the rotor. </a:t>
          </a:r>
        </a:p>
        <a:p>
          <a:pPr algn="just" defTabSz="609630" rtl="0" eaLnBrk="1" latinLnBrk="0" hangingPunct="1"/>
          <a:r>
            <a:rPr lang="en-US" sz="1100" b="1" kern="1200">
              <a:solidFill>
                <a:prstClr val="black"/>
              </a:solidFill>
              <a:latin typeface="Aptos" panose="020B0004020202020204" pitchFamily="34" charset="0"/>
              <a:ea typeface="+mn-ea"/>
              <a:cs typeface="Times New Roman" panose="02020603050405020304" pitchFamily="18" charset="0"/>
            </a:rPr>
            <a:t>7).</a:t>
          </a:r>
          <a:r>
            <a:rPr lang="en-US" sz="1100" kern="1200">
              <a:solidFill>
                <a:prstClr val="black"/>
              </a:solidFill>
              <a:latin typeface="Aptos" panose="020B0004020202020204" pitchFamily="34" charset="0"/>
              <a:ea typeface="+mn-ea"/>
              <a:cs typeface="Times New Roman" panose="02020603050405020304" pitchFamily="18" charset="0"/>
            </a:rPr>
            <a:t> a seal and rotor housing coating material combination that along with a proprietary rotor housing wear surface finish, allowed the wear surface and seal life to exceed a documented 20,000 hours versus 400 hours in the original OMC engine.</a:t>
          </a:r>
        </a:p>
        <a:p>
          <a:pPr algn="just" defTabSz="609630" rtl="0" eaLnBrk="1" latinLnBrk="0" hangingPunct="1"/>
          <a:r>
            <a:rPr lang="en-US" sz="1100" b="1" kern="1200">
              <a:solidFill>
                <a:prstClr val="black"/>
              </a:solidFill>
              <a:latin typeface="Aptos" panose="020B0004020202020204" pitchFamily="34" charset="0"/>
              <a:ea typeface="+mn-ea"/>
              <a:cs typeface="Times New Roman" panose="02020603050405020304" pitchFamily="18" charset="0"/>
            </a:rPr>
            <a:t>8).</a:t>
          </a:r>
          <a:r>
            <a:rPr lang="en-US" sz="1100" kern="1200">
              <a:solidFill>
                <a:prstClr val="black"/>
              </a:solidFill>
              <a:latin typeface="Aptos" panose="020B0004020202020204" pitchFamily="34" charset="0"/>
              <a:ea typeface="+mn-ea"/>
              <a:cs typeface="Times New Roman" panose="02020603050405020304" pitchFamily="18" charset="0"/>
            </a:rPr>
            <a:t> A mechanical patent specifically addressing the UAV (Unmanned Aerial Vehicle) design of Stella-1000 with Freedom Motors engines (Patent Pending) </a:t>
          </a:r>
        </a:p>
        <a:p>
          <a:pPr algn="just" defTabSz="609630" rtl="0" eaLnBrk="1" latinLnBrk="0" hangingPunct="1"/>
          <a:endParaRPr lang="en-US" sz="1100" kern="1200">
            <a:solidFill>
              <a:prstClr val="black"/>
            </a:solidFill>
            <a:latin typeface="Aptos" panose="020B0004020202020204" pitchFamily="34" charset="0"/>
            <a:ea typeface="+mn-ea"/>
            <a:cs typeface="Times New Roman" panose="02020603050405020304" pitchFamily="18" charset="0"/>
          </a:endParaRPr>
        </a:p>
        <a:p>
          <a:pPr algn="just" defTabSz="609630" rtl="0" eaLnBrk="1" latinLnBrk="0" hangingPunct="1"/>
          <a:r>
            <a:rPr lang="en-US" sz="1100" kern="1200">
              <a:solidFill>
                <a:prstClr val="black"/>
              </a:solidFill>
              <a:latin typeface="Aptos" panose="020B0004020202020204" pitchFamily="34" charset="0"/>
              <a:ea typeface="+mn-ea"/>
              <a:cs typeface="Times New Roman" panose="02020603050405020304" pitchFamily="18" charset="0"/>
            </a:rPr>
            <a:t>These are the top</a:t>
          </a:r>
          <a:r>
            <a:rPr lang="en-US" sz="1100" kern="1200" baseline="0">
              <a:solidFill>
                <a:prstClr val="black"/>
              </a:solidFill>
              <a:latin typeface="Aptos" panose="020B0004020202020204" pitchFamily="34" charset="0"/>
              <a:ea typeface="+mn-ea"/>
              <a:cs typeface="Times New Roman" panose="02020603050405020304" pitchFamily="18" charset="0"/>
            </a:rPr>
            <a:t> 8 patents which will be prioritized first. FM also has a few more patents that will followafter filing for these.</a:t>
          </a:r>
        </a:p>
        <a:p>
          <a:pPr algn="just" defTabSz="609630" rtl="0" eaLnBrk="1" latinLnBrk="0" hangingPunct="1"/>
          <a:endParaRPr lang="en-US" sz="1100" kern="1200" baseline="0">
            <a:solidFill>
              <a:prstClr val="black"/>
            </a:solidFill>
            <a:latin typeface="Aptos" panose="020B0004020202020204" pitchFamily="34" charset="0"/>
            <a:ea typeface="+mn-ea"/>
            <a:cs typeface="Times New Roman" panose="02020603050405020304" pitchFamily="18" charset="0"/>
          </a:endParaRPr>
        </a:p>
        <a:p>
          <a:pPr algn="just" defTabSz="609630" rtl="0" eaLnBrk="1" latinLnBrk="0" hangingPunct="1"/>
          <a:r>
            <a:rPr lang="en-US" sz="1100" b="1" kern="1200" baseline="0">
              <a:solidFill>
                <a:prstClr val="black"/>
              </a:solidFill>
              <a:latin typeface="Aptos" panose="020B0004020202020204" pitchFamily="34" charset="0"/>
              <a:ea typeface="+mn-ea"/>
              <a:cs typeface="Times New Roman" panose="02020603050405020304" pitchFamily="18" charset="0"/>
            </a:rPr>
            <a:t>The most significant and impactful patent (3614030) awarded in 1971 is the invention of Distributed Propulsion by Dr. Moller. Every VTOL design that is available in the market uses this invention.</a:t>
          </a:r>
          <a:endParaRPr lang="en-US" sz="1100" b="1" kern="1200">
            <a:solidFill>
              <a:prstClr val="black"/>
            </a:solidFill>
            <a:latin typeface="Aptos" panose="020B0004020202020204" pitchFamily="34" charset="0"/>
            <a:ea typeface="+mn-ea"/>
            <a:cs typeface="Times New Roman" panose="02020603050405020304" pitchFamily="18" charset="0"/>
          </a:endParaRPr>
        </a:p>
      </xdr:txBody>
    </xdr:sp>
    <xdr:clientData/>
  </xdr:twoCellAnchor>
  <xdr:twoCellAnchor>
    <xdr:from>
      <xdr:col>9</xdr:col>
      <xdr:colOff>57150</xdr:colOff>
      <xdr:row>0</xdr:row>
      <xdr:rowOff>114300</xdr:rowOff>
    </xdr:from>
    <xdr:to>
      <xdr:col>13</xdr:col>
      <xdr:colOff>330575</xdr:colOff>
      <xdr:row>2</xdr:row>
      <xdr:rowOff>24652</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B00-000004000000}"/>
            </a:ext>
          </a:extLst>
        </xdr:cNvPr>
        <xdr:cNvSpPr txBox="1"/>
      </xdr:nvSpPr>
      <xdr:spPr>
        <a:xfrm>
          <a:off x="5543550" y="114300"/>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333375</xdr:colOff>
      <xdr:row>0</xdr:row>
      <xdr:rowOff>95250</xdr:rowOff>
    </xdr:from>
    <xdr:to>
      <xdr:col>14</xdr:col>
      <xdr:colOff>606800</xdr:colOff>
      <xdr:row>2</xdr:row>
      <xdr:rowOff>5602</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C00-000002000000}"/>
            </a:ext>
          </a:extLst>
        </xdr:cNvPr>
        <xdr:cNvSpPr txBox="1"/>
      </xdr:nvSpPr>
      <xdr:spPr>
        <a:xfrm>
          <a:off x="6429375" y="95250"/>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152400</xdr:colOff>
          <xdr:row>2</xdr:row>
          <xdr:rowOff>114300</xdr:rowOff>
        </xdr:from>
        <xdr:to>
          <xdr:col>39</xdr:col>
          <xdr:colOff>133350</xdr:colOff>
          <xdr:row>3</xdr:row>
          <xdr:rowOff>133350</xdr:rowOff>
        </xdr:to>
        <xdr:sp macro="" textlink="">
          <xdr:nvSpPr>
            <xdr:cNvPr id="25601" name="Scroll Bar 1" hidden="1">
              <a:extLst>
                <a:ext uri="{63B3BB69-23CF-44E3-9099-C40C66FF867C}">
                  <a14:compatExt spid="_x0000_s25601"/>
                </a:ext>
                <a:ext uri="{FF2B5EF4-FFF2-40B4-BE49-F238E27FC236}">
                  <a16:creationId xmlns:a16="http://schemas.microsoft.com/office/drawing/2014/main" id="{00000000-0008-0000-0D00-000001640000}"/>
                </a:ext>
              </a:extLst>
            </xdr:cNvPr>
            <xdr:cNvSpPr/>
          </xdr:nvSpPr>
          <xdr:spPr bwMode="auto">
            <a:xfrm>
              <a:off x="0" y="0"/>
              <a:ext cx="0" cy="0"/>
            </a:xfrm>
            <a:prstGeom prst="rect">
              <a:avLst/>
            </a:prstGeom>
            <a:noFill/>
            <a:ln w="9525">
              <a:miter lim="800000"/>
              <a:headEnd/>
              <a:tailEnd/>
            </a:ln>
          </xdr:spPr>
        </xdr:sp>
        <xdr:clientData fLocksWithSheet="0" fPrintsWithSheet="0"/>
      </xdr:twoCellAnchor>
    </mc:Choice>
    <mc:Fallback/>
  </mc:AlternateContent>
  <xdr:twoCellAnchor>
    <xdr:from>
      <xdr:col>10</xdr:col>
      <xdr:colOff>34636</xdr:colOff>
      <xdr:row>2</xdr:row>
      <xdr:rowOff>34635</xdr:rowOff>
    </xdr:from>
    <xdr:to>
      <xdr:col>14</xdr:col>
      <xdr:colOff>365212</xdr:colOff>
      <xdr:row>3</xdr:row>
      <xdr:rowOff>129886</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D00-000002000000}"/>
            </a:ext>
          </a:extLst>
        </xdr:cNvPr>
        <xdr:cNvSpPr txBox="1"/>
      </xdr:nvSpPr>
      <xdr:spPr>
        <a:xfrm>
          <a:off x="4191000" y="519544"/>
          <a:ext cx="1889212" cy="251115"/>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latin typeface="Aptos" panose="020B0004020202020204" pitchFamily="34" charset="0"/>
            </a:rPr>
            <a:t>Return to Introduction Tab</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0</xdr:row>
      <xdr:rowOff>171450</xdr:rowOff>
    </xdr:from>
    <xdr:to>
      <xdr:col>25</xdr:col>
      <xdr:colOff>104776</xdr:colOff>
      <xdr:row>43</xdr:row>
      <xdr:rowOff>114301</xdr:rowOff>
    </xdr:to>
    <xdr:grpSp>
      <xdr:nvGrpSpPr>
        <xdr:cNvPr id="8" name="Group 7">
          <a:extLst>
            <a:ext uri="{FF2B5EF4-FFF2-40B4-BE49-F238E27FC236}">
              <a16:creationId xmlns:a16="http://schemas.microsoft.com/office/drawing/2014/main" id="{00000000-0008-0000-0E00-000008000000}"/>
            </a:ext>
          </a:extLst>
        </xdr:cNvPr>
        <xdr:cNvGrpSpPr/>
      </xdr:nvGrpSpPr>
      <xdr:grpSpPr>
        <a:xfrm>
          <a:off x="609600" y="171450"/>
          <a:ext cx="14735176" cy="8134351"/>
          <a:chOff x="609600" y="171450"/>
          <a:chExt cx="14735176" cy="8134351"/>
        </a:xfrm>
      </xdr:grpSpPr>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E00-000002000000}"/>
              </a:ext>
            </a:extLst>
          </xdr:cNvPr>
          <xdr:cNvSpPr txBox="1"/>
        </xdr:nvSpPr>
        <xdr:spPr>
          <a:xfrm>
            <a:off x="6838950" y="171450"/>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609600" y="571501"/>
            <a:ext cx="14735176" cy="7734300"/>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ptos" panose="020B0004020202020204" pitchFamily="34" charset="0"/>
                <a:cs typeface="Segoe UI" panose="020B0502040204020203" pitchFamily="34" charset="0"/>
              </a:rPr>
              <a:t>This document is prepared to captured high level tasks and its associated sub-tasks with timelines for commencing manufacturing. The initial production is for 530cc engines and to cater the confirmed orders from OneH2 corporation.</a:t>
            </a:r>
          </a:p>
          <a:p>
            <a:r>
              <a:rPr lang="en-US" sz="1100">
                <a:latin typeface="Aptos" panose="020B0004020202020204" pitchFamily="34" charset="0"/>
                <a:cs typeface="Segoe UI" panose="020B0502040204020203" pitchFamily="34" charset="0"/>
              </a:rPr>
              <a:t> </a:t>
            </a:r>
          </a:p>
          <a:p>
            <a:r>
              <a:rPr lang="en-US" sz="1100">
                <a:latin typeface="Aptos" panose="020B0004020202020204" pitchFamily="34" charset="0"/>
                <a:cs typeface="Segoe UI" panose="020B0502040204020203" pitchFamily="34" charset="0"/>
              </a:rPr>
              <a:t>The first year (production year) is divided into four phases to begin mass production of 30-50 engines a day starting the second year. The first year is the startup year to establish production and testing facilities and to beta produce approximately 200 engines.</a:t>
            </a:r>
            <a:endParaRPr lang="en-US" sz="1100" baseline="0">
              <a:latin typeface="Aptos" panose="020B0004020202020204" pitchFamily="34" charset="0"/>
              <a:cs typeface="Segoe UI" panose="020B0502040204020203" pitchFamily="34" charset="0"/>
            </a:endParaRPr>
          </a:p>
          <a:p>
            <a:endParaRPr lang="en-US" sz="1100" baseline="0">
              <a:latin typeface="Aptos" panose="020B0004020202020204" pitchFamily="34" charset="0"/>
              <a:cs typeface="Segoe UI" panose="020B0502040204020203" pitchFamily="34" charset="0"/>
            </a:endParaRPr>
          </a:p>
          <a:p>
            <a:r>
              <a:rPr lang="en-US" sz="1100" b="1" baseline="0">
                <a:solidFill>
                  <a:schemeClr val="dk1"/>
                </a:solidFill>
                <a:latin typeface="Aptos" panose="020B0004020202020204" pitchFamily="34" charset="0"/>
                <a:ea typeface="+mn-ea"/>
                <a:cs typeface="Segoe UI" panose="020B0502040204020203" pitchFamily="34" charset="0"/>
              </a:rPr>
              <a:t>TASKS THAT ARE COMPLETED</a:t>
            </a:r>
          </a:p>
          <a:p>
            <a:r>
              <a:rPr lang="en-US" sz="1100" baseline="0">
                <a:solidFill>
                  <a:schemeClr val="dk1"/>
                </a:solidFill>
                <a:latin typeface="Aptos" panose="020B0004020202020204" pitchFamily="34" charset="0"/>
                <a:ea typeface="+mn-ea"/>
                <a:cs typeface="Segoe UI" panose="020B0502040204020203" pitchFamily="34" charset="0"/>
              </a:rPr>
              <a:t> </a:t>
            </a:r>
          </a:p>
          <a:p>
            <a:pPr lvl="0"/>
            <a:r>
              <a:rPr lang="en-US" sz="1100" baseline="0">
                <a:solidFill>
                  <a:schemeClr val="dk1"/>
                </a:solidFill>
                <a:latin typeface="Aptos" panose="020B0004020202020204" pitchFamily="34" charset="0"/>
                <a:ea typeface="+mn-ea"/>
                <a:cs typeface="Segoe UI" panose="020B0502040204020203" pitchFamily="34" charset="0"/>
              </a:rPr>
              <a:t>1. Leased space specifically for manufacturing (8,000 Sq. Ft)</a:t>
            </a:r>
          </a:p>
          <a:p>
            <a:pPr lvl="0"/>
            <a:r>
              <a:rPr lang="en-US" sz="1100" baseline="0">
                <a:solidFill>
                  <a:schemeClr val="dk1"/>
                </a:solidFill>
                <a:latin typeface="Aptos" panose="020B0004020202020204" pitchFamily="34" charset="0"/>
                <a:ea typeface="+mn-ea"/>
                <a:cs typeface="Segoe UI" panose="020B0502040204020203" pitchFamily="34" charset="0"/>
              </a:rPr>
              <a:t>	Four small offices built, and carpeted</a:t>
            </a:r>
          </a:p>
          <a:p>
            <a:pPr lvl="0"/>
            <a:r>
              <a:rPr lang="en-US" sz="1100" baseline="0">
                <a:solidFill>
                  <a:schemeClr val="dk1"/>
                </a:solidFill>
                <a:latin typeface="Aptos" panose="020B0004020202020204" pitchFamily="34" charset="0"/>
                <a:ea typeface="+mn-ea"/>
                <a:cs typeface="Segoe UI" panose="020B0502040204020203" pitchFamily="34" charset="0"/>
              </a:rPr>
              <a:t>	Air conditioning installed for the entire facility</a:t>
            </a:r>
          </a:p>
          <a:p>
            <a:pPr lvl="0"/>
            <a:r>
              <a:rPr lang="en-US" sz="1100" baseline="0">
                <a:solidFill>
                  <a:schemeClr val="dk1"/>
                </a:solidFill>
                <a:latin typeface="Aptos" panose="020B0004020202020204" pitchFamily="34" charset="0"/>
                <a:ea typeface="+mn-ea"/>
                <a:cs typeface="Segoe UI" panose="020B0502040204020203" pitchFamily="34" charset="0"/>
              </a:rPr>
              <a:t>	Lighting installed &amp; improved </a:t>
            </a:r>
          </a:p>
          <a:p>
            <a:pPr lvl="0"/>
            <a:r>
              <a:rPr lang="en-US" sz="1100" baseline="0">
                <a:solidFill>
                  <a:schemeClr val="dk1"/>
                </a:solidFill>
                <a:latin typeface="Aptos" panose="020B0004020202020204" pitchFamily="34" charset="0"/>
                <a:ea typeface="+mn-ea"/>
                <a:cs typeface="Segoe UI" panose="020B0502040204020203" pitchFamily="34" charset="0"/>
              </a:rPr>
              <a:t>	Floors coated with an epoxy paint</a:t>
            </a:r>
          </a:p>
          <a:p>
            <a:pPr lvl="0"/>
            <a:r>
              <a:rPr lang="en-US" sz="1100" baseline="0">
                <a:solidFill>
                  <a:schemeClr val="dk1"/>
                </a:solidFill>
                <a:latin typeface="Aptos" panose="020B0004020202020204" pitchFamily="34" charset="0"/>
                <a:ea typeface="+mn-ea"/>
                <a:cs typeface="Segoe UI" panose="020B0502040204020203" pitchFamily="34" charset="0"/>
              </a:rPr>
              <a:t>	Installed several power sockets </a:t>
            </a:r>
          </a:p>
          <a:p>
            <a:pPr lvl="0"/>
            <a:r>
              <a:rPr lang="en-US" sz="1100" baseline="0">
                <a:solidFill>
                  <a:schemeClr val="dk1"/>
                </a:solidFill>
                <a:latin typeface="Aptos" panose="020B0004020202020204" pitchFamily="34" charset="0"/>
                <a:ea typeface="+mn-ea"/>
                <a:cs typeface="Segoe UI" panose="020B0502040204020203" pitchFamily="34" charset="0"/>
              </a:rPr>
              <a:t>	Heavy Equipment moved in and installed</a:t>
            </a:r>
          </a:p>
          <a:p>
            <a:pPr lvl="0"/>
            <a:r>
              <a:rPr lang="en-US" sz="1100" baseline="0">
                <a:solidFill>
                  <a:schemeClr val="dk1"/>
                </a:solidFill>
                <a:latin typeface="Aptos" panose="020B0004020202020204" pitchFamily="34" charset="0"/>
                <a:ea typeface="+mn-ea"/>
                <a:cs typeface="Segoe UI" panose="020B0502040204020203" pitchFamily="34" charset="0"/>
              </a:rPr>
              <a:t> </a:t>
            </a:r>
          </a:p>
          <a:p>
            <a:pPr lvl="0"/>
            <a:r>
              <a:rPr lang="en-US" sz="1100" baseline="0">
                <a:solidFill>
                  <a:schemeClr val="dk1"/>
                </a:solidFill>
                <a:latin typeface="Aptos" panose="020B0004020202020204" pitchFamily="34" charset="0"/>
                <a:ea typeface="+mn-ea"/>
                <a:cs typeface="Segoe UI" panose="020B0502040204020203" pitchFamily="34" charset="0"/>
              </a:rPr>
              <a:t>2.  Completed 5,000 Sq. Ft. dyno test and inventory storage facility</a:t>
            </a:r>
          </a:p>
          <a:p>
            <a:pPr lvl="0"/>
            <a:r>
              <a:rPr lang="en-US" sz="1100" baseline="0">
                <a:solidFill>
                  <a:schemeClr val="dk1"/>
                </a:solidFill>
                <a:latin typeface="Aptos" panose="020B0004020202020204" pitchFamily="34" charset="0"/>
                <a:ea typeface="+mn-ea"/>
                <a:cs typeface="Segoe UI" panose="020B0502040204020203" pitchFamily="34" charset="0"/>
              </a:rPr>
              <a:t> </a:t>
            </a:r>
          </a:p>
          <a:p>
            <a:pPr lvl="0"/>
            <a:r>
              <a:rPr lang="en-US" sz="1100" baseline="0">
                <a:solidFill>
                  <a:schemeClr val="dk1"/>
                </a:solidFill>
                <a:latin typeface="Aptos" panose="020B0004020202020204" pitchFamily="34" charset="0"/>
                <a:ea typeface="+mn-ea"/>
                <a:cs typeface="Segoe UI" panose="020B0502040204020203" pitchFamily="34" charset="0"/>
              </a:rPr>
              <a:t>The phases of the production ready plan are</a:t>
            </a:r>
          </a:p>
          <a:p>
            <a:endParaRPr lang="en-US" sz="1100" b="1" baseline="0">
              <a:solidFill>
                <a:schemeClr val="dk1"/>
              </a:solidFill>
              <a:effectLst/>
              <a:latin typeface="Aptos" panose="020B0004020202020204" pitchFamily="34" charset="0"/>
              <a:ea typeface="+mn-ea"/>
              <a:cs typeface="Segoe UI" panose="020B0502040204020203" pitchFamily="34" charset="0"/>
            </a:endParaRPr>
          </a:p>
          <a:p>
            <a:r>
              <a:rPr lang="en-US" sz="1100" b="1">
                <a:effectLst/>
                <a:latin typeface="Aptos" panose="020B0004020202020204" pitchFamily="34" charset="0"/>
                <a:ea typeface="Times New Roman" panose="02020603050405020304" pitchFamily="18" charset="0"/>
                <a:cs typeface="Arial" panose="020B0604020202020204" pitchFamily="34" charset="0"/>
              </a:rPr>
              <a:t> </a:t>
            </a:r>
            <a:endParaRPr lang="en-US" sz="1200" b="0">
              <a:effectLst/>
              <a:latin typeface="Aptos" panose="020B0004020202020204" pitchFamily="34" charset="0"/>
              <a:ea typeface="Times New Roman" panose="02020603050405020304" pitchFamily="18" charset="0"/>
              <a:cs typeface="Arial" panose="020B0604020202020204" pitchFamily="34" charset="0"/>
            </a:endParaRPr>
          </a:p>
          <a:p>
            <a:endParaRPr lang="en-US" sz="1200" b="0">
              <a:effectLst/>
              <a:latin typeface="Aptos" panose="020B0004020202020204" pitchFamily="34" charset="0"/>
              <a:ea typeface="Times New Roman" panose="02020603050405020304" pitchFamily="18" charset="0"/>
              <a:cs typeface="Arial" panose="020B0604020202020204" pitchFamily="34" charset="0"/>
            </a:endParaRPr>
          </a:p>
          <a:p>
            <a:r>
              <a:rPr lang="en-US" sz="1100">
                <a:effectLst/>
                <a:latin typeface="Aptos" panose="020B0004020202020204" pitchFamily="34" charset="0"/>
                <a:ea typeface="Times New Roman" panose="02020603050405020304" pitchFamily="18" charset="0"/>
                <a:cs typeface="Arial" panose="020B0604020202020204" pitchFamily="34" charset="0"/>
              </a:rPr>
              <a:t>This phase requires us to address hiring critical employees, contracting critical services, ordering equipment, contracting for permanent tooling, succession planning, among many other things. We envision this plan’s timeline for 120 days (1-4 Months).</a:t>
            </a:r>
          </a:p>
          <a:p>
            <a:r>
              <a:rPr lang="en-US" sz="1100">
                <a:effectLst/>
                <a:latin typeface="Aptos" panose="020B0004020202020204" pitchFamily="34" charset="0"/>
                <a:ea typeface="Times New Roman" panose="02020603050405020304" pitchFamily="18" charset="0"/>
                <a:cs typeface="Arial" panose="020B0604020202020204" pitchFamily="34" charset="0"/>
              </a:rPr>
              <a:t>This Startup plan will lay out the foundation for our beta production and subsequent mass production for OneH2 and other customers. The initial focus will be 530cc engine. </a:t>
            </a:r>
            <a:endParaRPr lang="en-US" sz="1200">
              <a:effectLst/>
              <a:latin typeface="Aptos" panose="020B0004020202020204" pitchFamily="34" charset="0"/>
              <a:ea typeface="Times New Roman" panose="02020603050405020304" pitchFamily="18" charset="0"/>
              <a:cs typeface="Arial" panose="020B0604020202020204" pitchFamily="34" charset="0"/>
            </a:endParaRPr>
          </a:p>
          <a:p>
            <a:endParaRPr lang="en-US" sz="1200" b="1">
              <a:effectLst/>
              <a:latin typeface="Aptos" panose="020B0004020202020204" pitchFamily="34" charset="0"/>
              <a:ea typeface="Times New Roman" panose="02020603050405020304" pitchFamily="18" charset="0"/>
              <a:cs typeface="Arial" panose="020B0604020202020204" pitchFamily="34" charset="0"/>
            </a:endParaRPr>
          </a:p>
          <a:p>
            <a:r>
              <a:rPr lang="en-US" sz="1100" b="1">
                <a:effectLst/>
                <a:latin typeface="Aptos" panose="020B0004020202020204" pitchFamily="34" charset="0"/>
                <a:ea typeface="Times New Roman" panose="02020603050405020304" pitchFamily="18" charset="0"/>
                <a:cs typeface="Arial" panose="020B0604020202020204" pitchFamily="34" charset="0"/>
              </a:rPr>
              <a:t> </a:t>
            </a:r>
            <a:endParaRPr lang="en-US" sz="1200" b="0">
              <a:effectLst/>
              <a:latin typeface="Aptos" panose="020B0004020202020204" pitchFamily="34" charset="0"/>
              <a:ea typeface="Times New Roman" panose="02020603050405020304" pitchFamily="18" charset="0"/>
              <a:cs typeface="Arial" panose="020B0604020202020204" pitchFamily="34" charset="0"/>
            </a:endParaRPr>
          </a:p>
          <a:p>
            <a:endParaRPr lang="en-US" sz="1200" b="0">
              <a:effectLst/>
              <a:latin typeface="Aptos" panose="020B0004020202020204" pitchFamily="34" charset="0"/>
              <a:ea typeface="Times New Roman" panose="02020603050405020304" pitchFamily="18" charset="0"/>
              <a:cs typeface="Arial" panose="020B0604020202020204" pitchFamily="34" charset="0"/>
            </a:endParaRPr>
          </a:p>
          <a:p>
            <a:r>
              <a:rPr lang="en-US" sz="1100">
                <a:effectLst/>
                <a:latin typeface="Aptos" panose="020B0004020202020204" pitchFamily="34" charset="0"/>
                <a:ea typeface="Times New Roman" panose="02020603050405020304" pitchFamily="18" charset="0"/>
                <a:cs typeface="Arial" panose="020B0604020202020204" pitchFamily="34" charset="0"/>
              </a:rPr>
              <a:t>This phase follows the Startup plan will have a timeline of 120 days (5-8 Months). The best fit definition of this phase is “</a:t>
            </a:r>
            <a:r>
              <a:rPr lang="en-US" sz="1100" b="1">
                <a:effectLst/>
                <a:latin typeface="Aptos" panose="020B0004020202020204" pitchFamily="34" charset="0"/>
                <a:ea typeface="Times New Roman" panose="02020603050405020304" pitchFamily="18" charset="0"/>
                <a:cs typeface="Arial" panose="020B0604020202020204" pitchFamily="34" charset="0"/>
              </a:rPr>
              <a:t>Initial Engine Quality Verification</a:t>
            </a:r>
            <a:r>
              <a:rPr lang="en-US" sz="1100">
                <a:effectLst/>
                <a:latin typeface="Aptos" panose="020B0004020202020204" pitchFamily="34" charset="0"/>
                <a:ea typeface="Times New Roman" panose="02020603050405020304" pitchFamily="18" charset="0"/>
                <a:cs typeface="Arial" panose="020B0604020202020204" pitchFamily="34" charset="0"/>
              </a:rPr>
              <a:t>”. This is the time where major decisions of “</a:t>
            </a:r>
            <a:r>
              <a:rPr lang="en-US" sz="1100" b="1">
                <a:effectLst/>
                <a:latin typeface="Aptos" panose="020B0004020202020204" pitchFamily="34" charset="0"/>
                <a:ea typeface="Times New Roman" panose="02020603050405020304" pitchFamily="18" charset="0"/>
                <a:cs typeface="Arial" panose="020B0604020202020204" pitchFamily="34" charset="0"/>
              </a:rPr>
              <a:t>Make or Buy</a:t>
            </a:r>
            <a:r>
              <a:rPr lang="en-US" sz="1100">
                <a:effectLst/>
                <a:latin typeface="Aptos" panose="020B0004020202020204" pitchFamily="34" charset="0"/>
                <a:ea typeface="Times New Roman" panose="02020603050405020304" pitchFamily="18" charset="0"/>
                <a:cs typeface="Arial" panose="020B0604020202020204" pitchFamily="34" charset="0"/>
              </a:rPr>
              <a:t>” will be made, initial purchase of engine parts will be done after permanent molds for cast parts will be created, a Patent &amp; IP Plan will be put into place. During this plan we also intend to accomplish endurance and calibration (cooling, lubrication, ignition, and fuel) testing, accessories qualification and integration, OEM collaboration, and Assembly plan (select an assembly line software).</a:t>
            </a:r>
            <a:endParaRPr lang="en-US" sz="1200">
              <a:effectLst/>
              <a:latin typeface="Aptos" panose="020B0004020202020204" pitchFamily="34" charset="0"/>
              <a:ea typeface="Times New Roman" panose="02020603050405020304" pitchFamily="18" charset="0"/>
              <a:cs typeface="Arial" panose="020B0604020202020204" pitchFamily="34" charset="0"/>
            </a:endParaRPr>
          </a:p>
          <a:p>
            <a:endParaRPr lang="en-US" sz="1200" b="1">
              <a:effectLst/>
              <a:latin typeface="Aptos" panose="020B0004020202020204" pitchFamily="34" charset="0"/>
              <a:ea typeface="Times New Roman" panose="02020603050405020304" pitchFamily="18" charset="0"/>
              <a:cs typeface="Arial" panose="020B0604020202020204" pitchFamily="34" charset="0"/>
            </a:endParaRPr>
          </a:p>
          <a:p>
            <a:r>
              <a:rPr lang="en-US" sz="1100" b="1">
                <a:effectLst/>
                <a:latin typeface="Aptos" panose="020B0004020202020204" pitchFamily="34" charset="0"/>
                <a:ea typeface="Times New Roman" panose="02020603050405020304" pitchFamily="18" charset="0"/>
                <a:cs typeface="Arial" panose="020B0604020202020204" pitchFamily="34" charset="0"/>
              </a:rPr>
              <a:t> </a:t>
            </a:r>
            <a:endParaRPr lang="en-US" sz="1200" b="0">
              <a:effectLst/>
              <a:latin typeface="Aptos" panose="020B0004020202020204" pitchFamily="34" charset="0"/>
              <a:ea typeface="Times New Roman" panose="02020603050405020304" pitchFamily="18" charset="0"/>
              <a:cs typeface="Arial" panose="020B0604020202020204" pitchFamily="34" charset="0"/>
            </a:endParaRPr>
          </a:p>
          <a:p>
            <a:endParaRPr lang="en-US" sz="1200" b="0">
              <a:effectLst/>
              <a:latin typeface="Aptos" panose="020B0004020202020204" pitchFamily="34" charset="0"/>
              <a:ea typeface="Times New Roman" panose="02020603050405020304" pitchFamily="18" charset="0"/>
              <a:cs typeface="Arial" panose="020B0604020202020204" pitchFamily="34" charset="0"/>
            </a:endParaRPr>
          </a:p>
          <a:p>
            <a:r>
              <a:rPr lang="en-US" sz="1100">
                <a:solidFill>
                  <a:schemeClr val="dk1"/>
                </a:solidFill>
                <a:effectLst/>
                <a:latin typeface="+mn-lt"/>
                <a:ea typeface="+mn-ea"/>
                <a:cs typeface="+mn-cs"/>
              </a:rPr>
              <a:t>This phase will also need 120 days (9-12 Months) where we will integrate everything done in the last two phases including lessons learned into a final production plan for mass producing for OneH2 and other customers.</a:t>
            </a:r>
            <a:endParaRPr lang="en-US">
              <a:effectLst/>
            </a:endParaRPr>
          </a:p>
          <a:p>
            <a:r>
              <a:rPr lang="en-US" sz="1100">
                <a:solidFill>
                  <a:schemeClr val="dk1"/>
                </a:solidFill>
                <a:effectLst/>
                <a:latin typeface="+mn-lt"/>
                <a:ea typeface="+mn-ea"/>
                <a:cs typeface="+mn-cs"/>
              </a:rPr>
              <a:t>The tasks</a:t>
            </a:r>
            <a:r>
              <a:rPr lang="en-US" sz="1100" baseline="0">
                <a:solidFill>
                  <a:schemeClr val="dk1"/>
                </a:solidFill>
                <a:effectLst/>
                <a:latin typeface="+mn-lt"/>
                <a:ea typeface="+mn-ea"/>
                <a:cs typeface="+mn-cs"/>
              </a:rPr>
              <a:t> from the previous phase like Intial Engine Quality Verification, Engine parts orders and the patent process will continue in this phase.</a:t>
            </a:r>
            <a:endParaRPr lang="en-US">
              <a:effectLst/>
            </a:endParaRPr>
          </a:p>
          <a:p>
            <a:r>
              <a:rPr lang="en-US" sz="1100" b="1">
                <a:effectLst/>
                <a:latin typeface="Aptos" panose="020B0004020202020204" pitchFamily="34" charset="0"/>
                <a:ea typeface="Times New Roman" panose="02020603050405020304" pitchFamily="18" charset="0"/>
                <a:cs typeface="Arial" panose="020B0604020202020204" pitchFamily="34" charset="0"/>
              </a:rPr>
              <a:t> </a:t>
            </a:r>
          </a:p>
          <a:p>
            <a:endParaRPr lang="en-US" sz="1100" b="0">
              <a:effectLst/>
              <a:latin typeface="Aptos" panose="020B0004020202020204" pitchFamily="34" charset="0"/>
              <a:ea typeface="Times New Roman" panose="02020603050405020304" pitchFamily="18" charset="0"/>
              <a:cs typeface="Arial" panose="020B0604020202020204" pitchFamily="34" charset="0"/>
            </a:endParaRPr>
          </a:p>
          <a:p>
            <a:r>
              <a:rPr lang="en-US" sz="1100" b="0">
                <a:effectLst/>
                <a:latin typeface="Aptos" panose="020B0004020202020204" pitchFamily="34" charset="0"/>
                <a:ea typeface="Times New Roman" panose="02020603050405020304" pitchFamily="18" charset="0"/>
                <a:cs typeface="Arial" panose="020B0604020202020204" pitchFamily="34" charset="0"/>
              </a:rPr>
              <a:t>As we continue with our production and testing plan, this phase addresses additional equipment purchase, critical hiring, and casting &amp; tooling, that is required to be production ready for all models of our engines.</a:t>
            </a:r>
          </a:p>
          <a:p>
            <a:r>
              <a:rPr lang="en-US" sz="1100" b="0">
                <a:effectLst/>
                <a:latin typeface="Aptos" panose="020B0004020202020204" pitchFamily="34" charset="0"/>
                <a:ea typeface="Times New Roman" panose="02020603050405020304" pitchFamily="18" charset="0"/>
                <a:cs typeface="Arial" panose="020B0604020202020204" pitchFamily="34" charset="0"/>
              </a:rPr>
              <a:t>Limited production begins in this phase as we continue to file additional patents (Coumpound Engine related), and continue to perform Dyno endurance testing.</a:t>
            </a:r>
            <a:endParaRPr lang="en-US" sz="1200" b="0">
              <a:effectLst/>
              <a:latin typeface="Aptos" panose="020B0004020202020204" pitchFamily="34" charset="0"/>
              <a:ea typeface="Times New Roman" panose="02020603050405020304" pitchFamily="18" charset="0"/>
              <a:cs typeface="Arial" panose="020B0604020202020204" pitchFamily="34" charset="0"/>
            </a:endParaRPr>
          </a:p>
          <a:p>
            <a:endParaRPr lang="en-US" sz="1100">
              <a:latin typeface="Aptos" panose="020B0004020202020204" pitchFamily="34" charset="0"/>
              <a:cs typeface="Segoe UI" panose="020B0502040204020203" pitchFamily="34" charset="0"/>
            </a:endParaRPr>
          </a:p>
        </xdr:txBody>
      </xdr:sp>
      <xdr:sp macro="" textlink="">
        <xdr:nvSpPr>
          <xdr:cNvPr id="5" name="TextBox 4">
            <a:hlinkClick xmlns:r="http://schemas.openxmlformats.org/officeDocument/2006/relationships" r:id="rId2"/>
            <a:extLst>
              <a:ext uri="{FF2B5EF4-FFF2-40B4-BE49-F238E27FC236}">
                <a16:creationId xmlns:a16="http://schemas.microsoft.com/office/drawing/2014/main" id="{00000000-0008-0000-0E00-000005000000}"/>
              </a:ext>
            </a:extLst>
          </xdr:cNvPr>
          <xdr:cNvSpPr txBox="1"/>
        </xdr:nvSpPr>
        <xdr:spPr>
          <a:xfrm>
            <a:off x="619124" y="4810125"/>
            <a:ext cx="2914651" cy="29135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1">
                <a:solidFill>
                  <a:srgbClr val="0070C0"/>
                </a:solidFill>
                <a:effectLst/>
                <a:latin typeface="Aptos" panose="020B0004020202020204" pitchFamily="34" charset="0"/>
                <a:ea typeface="+mn-ea"/>
                <a:cs typeface="+mn-cs"/>
              </a:rPr>
              <a:t>2.</a:t>
            </a:r>
            <a:r>
              <a:rPr lang="en-US" sz="1100" b="1" baseline="0">
                <a:solidFill>
                  <a:srgbClr val="0070C0"/>
                </a:solidFill>
                <a:effectLst/>
                <a:latin typeface="Aptos" panose="020B0004020202020204" pitchFamily="34" charset="0"/>
                <a:ea typeface="+mn-ea"/>
                <a:cs typeface="+mn-cs"/>
              </a:rPr>
              <a:t> </a:t>
            </a:r>
            <a:r>
              <a:rPr lang="en-US" sz="1100" b="1">
                <a:solidFill>
                  <a:srgbClr val="0070C0"/>
                </a:solidFill>
                <a:effectLst/>
                <a:latin typeface="Aptos" panose="020B0004020202020204" pitchFamily="34" charset="0"/>
                <a:ea typeface="+mn-ea"/>
                <a:cs typeface="+mn-cs"/>
              </a:rPr>
              <a:t>Beta Phase (Test, Run, &amp; Deploy Phase)</a:t>
            </a:r>
            <a:endParaRPr lang="en-US" sz="1100">
              <a:solidFill>
                <a:srgbClr val="0070C0"/>
              </a:solidFill>
              <a:latin typeface="Aptos" panose="020B0004020202020204" pitchFamily="34" charset="0"/>
            </a:endParaRPr>
          </a:p>
        </xdr:txBody>
      </xdr:sp>
      <xdr:sp macro="" textlink="">
        <xdr:nvSpPr>
          <xdr:cNvPr id="6" name="TextBox 5">
            <a:hlinkClick xmlns:r="http://schemas.openxmlformats.org/officeDocument/2006/relationships" r:id="rId3"/>
            <a:extLst>
              <a:ext uri="{FF2B5EF4-FFF2-40B4-BE49-F238E27FC236}">
                <a16:creationId xmlns:a16="http://schemas.microsoft.com/office/drawing/2014/main" id="{00000000-0008-0000-0E00-000006000000}"/>
              </a:ext>
            </a:extLst>
          </xdr:cNvPr>
          <xdr:cNvSpPr txBox="1"/>
        </xdr:nvSpPr>
        <xdr:spPr>
          <a:xfrm>
            <a:off x="619124" y="5876925"/>
            <a:ext cx="2552701" cy="29135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1" baseline="0">
                <a:solidFill>
                  <a:srgbClr val="0070C0"/>
                </a:solidFill>
                <a:latin typeface="Aptos" panose="020B0004020202020204" pitchFamily="34" charset="0"/>
              </a:rPr>
              <a:t>3. Production Readiness  Phase</a:t>
            </a:r>
            <a:endParaRPr lang="en-US" sz="1100" b="1">
              <a:solidFill>
                <a:srgbClr val="0070C0"/>
              </a:solidFill>
              <a:latin typeface="Aptos" panose="020B0004020202020204" pitchFamily="34" charset="0"/>
            </a:endParaRPr>
          </a:p>
        </xdr:txBody>
      </xdr:sp>
      <xdr:sp macro="" textlink="">
        <xdr:nvSpPr>
          <xdr:cNvPr id="7" name="TextBox 6">
            <a:hlinkClick xmlns:r="http://schemas.openxmlformats.org/officeDocument/2006/relationships" r:id="rId4"/>
            <a:extLst>
              <a:ext uri="{FF2B5EF4-FFF2-40B4-BE49-F238E27FC236}">
                <a16:creationId xmlns:a16="http://schemas.microsoft.com/office/drawing/2014/main" id="{00000000-0008-0000-0E00-000007000000}"/>
              </a:ext>
            </a:extLst>
          </xdr:cNvPr>
          <xdr:cNvSpPr txBox="1"/>
        </xdr:nvSpPr>
        <xdr:spPr>
          <a:xfrm>
            <a:off x="619124" y="6705600"/>
            <a:ext cx="1924051" cy="29135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1" baseline="0">
                <a:solidFill>
                  <a:srgbClr val="0070C0"/>
                </a:solidFill>
                <a:latin typeface="Aptos" panose="020B0004020202020204" pitchFamily="34" charset="0"/>
              </a:rPr>
              <a:t>4. Beyond 12 Months Phase </a:t>
            </a:r>
            <a:endParaRPr lang="en-US" sz="1100" b="1">
              <a:solidFill>
                <a:srgbClr val="0070C0"/>
              </a:solidFill>
              <a:latin typeface="Aptos" panose="020B0004020202020204" pitchFamily="34" charset="0"/>
            </a:endParaRPr>
          </a:p>
        </xdr:txBody>
      </xdr:sp>
    </xdr:grpSp>
    <xdr:clientData/>
  </xdr:twoCellAnchor>
  <xdr:twoCellAnchor>
    <xdr:from>
      <xdr:col>1</xdr:col>
      <xdr:colOff>19050</xdr:colOff>
      <xdr:row>19</xdr:row>
      <xdr:rowOff>76200</xdr:rowOff>
    </xdr:from>
    <xdr:to>
      <xdr:col>3</xdr:col>
      <xdr:colOff>314325</xdr:colOff>
      <xdr:row>20</xdr:row>
      <xdr:rowOff>177052</xdr:rowOff>
    </xdr:to>
    <xdr:sp macro="" textlink="">
      <xdr:nvSpPr>
        <xdr:cNvPr id="11" name="TextBox 10">
          <a:hlinkClick xmlns:r="http://schemas.openxmlformats.org/officeDocument/2006/relationships" r:id="rId5"/>
          <a:extLst>
            <a:ext uri="{FF2B5EF4-FFF2-40B4-BE49-F238E27FC236}">
              <a16:creationId xmlns:a16="http://schemas.microsoft.com/office/drawing/2014/main" id="{00000000-0008-0000-0E00-00000B000000}"/>
            </a:ext>
          </a:extLst>
        </xdr:cNvPr>
        <xdr:cNvSpPr txBox="1"/>
      </xdr:nvSpPr>
      <xdr:spPr>
        <a:xfrm>
          <a:off x="628650" y="3695700"/>
          <a:ext cx="1514475" cy="291352"/>
        </a:xfrm>
        <a:prstGeom prst="rect">
          <a:avLst/>
        </a:prstGeom>
        <a:solidFill>
          <a:schemeClr val="accent4">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1">
              <a:solidFill>
                <a:srgbClr val="0070C0"/>
              </a:solidFill>
              <a:latin typeface="Aptos" panose="020B0004020202020204" pitchFamily="34" charset="0"/>
            </a:rPr>
            <a:t>1. The Startup Phase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47625</xdr:colOff>
      <xdr:row>3</xdr:row>
      <xdr:rowOff>19050</xdr:rowOff>
    </xdr:from>
    <xdr:to>
      <xdr:col>14</xdr:col>
      <xdr:colOff>161925</xdr:colOff>
      <xdr:row>8</xdr:row>
      <xdr:rowOff>28575</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1266825" y="590550"/>
          <a:ext cx="7429500" cy="962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b="1">
              <a:effectLst/>
              <a:latin typeface="Segoe UI" panose="020B0502040204020203" pitchFamily="34" charset="0"/>
              <a:ea typeface="Times New Roman" panose="02020603050405020304" pitchFamily="18" charset="0"/>
              <a:cs typeface="Arial" panose="020B0604020202020204" pitchFamily="34" charset="0"/>
            </a:rPr>
            <a:t>Start time:</a:t>
          </a:r>
          <a:r>
            <a:rPr lang="en-US" sz="1100">
              <a:effectLst/>
              <a:latin typeface="Segoe UI" panose="020B0502040204020203" pitchFamily="34" charset="0"/>
              <a:ea typeface="Times New Roman" panose="02020603050405020304" pitchFamily="18" charset="0"/>
              <a:cs typeface="Arial" panose="020B0604020202020204" pitchFamily="34" charset="0"/>
            </a:rPr>
            <a:t> Immediately after the availability of funds (please note that we should be able to start delivering engines by end of 2024, so it is important to realize funds as soon as possible)</a:t>
          </a:r>
          <a:endParaRPr lang="en-US" sz="1200">
            <a:effectLst/>
            <a:latin typeface="Times New Roman" panose="02020603050405020304" pitchFamily="18" charset="0"/>
            <a:ea typeface="Times New Roman" panose="02020603050405020304" pitchFamily="18" charset="0"/>
            <a:cs typeface="Arial" panose="020B0604020202020204" pitchFamily="34" charset="0"/>
          </a:endParaRPr>
        </a:p>
        <a:p>
          <a:pPr marL="0" marR="0" algn="just">
            <a:spcBef>
              <a:spcPts val="0"/>
            </a:spcBef>
            <a:spcAft>
              <a:spcPts val="0"/>
            </a:spcAft>
          </a:pPr>
          <a:r>
            <a:rPr lang="en-US" sz="1100" b="1">
              <a:effectLst/>
              <a:latin typeface="Segoe UI" panose="020B0502040204020203" pitchFamily="34" charset="0"/>
              <a:ea typeface="Times New Roman" panose="02020603050405020304" pitchFamily="18" charset="0"/>
              <a:cs typeface="Arial" panose="020B0604020202020204" pitchFamily="34" charset="0"/>
            </a:rPr>
            <a:t>Duration:</a:t>
          </a:r>
          <a:r>
            <a:rPr lang="en-US" sz="1100">
              <a:effectLst/>
              <a:latin typeface="Segoe UI" panose="020B0502040204020203" pitchFamily="34" charset="0"/>
              <a:ea typeface="Times New Roman" panose="02020603050405020304" pitchFamily="18" charset="0"/>
              <a:cs typeface="Arial" panose="020B0604020202020204" pitchFamily="34" charset="0"/>
            </a:rPr>
            <a:t> 120 days (1-4</a:t>
          </a:r>
          <a:r>
            <a:rPr lang="en-US" sz="1100" baseline="0">
              <a:effectLst/>
              <a:latin typeface="Segoe UI" panose="020B0502040204020203" pitchFamily="34" charset="0"/>
              <a:ea typeface="Times New Roman" panose="02020603050405020304" pitchFamily="18" charset="0"/>
              <a:cs typeface="Arial" panose="020B0604020202020204" pitchFamily="34" charset="0"/>
            </a:rPr>
            <a:t> months)</a:t>
          </a:r>
          <a:endParaRPr lang="en-US" sz="1200">
            <a:effectLst/>
            <a:latin typeface="Times New Roman" panose="02020603050405020304" pitchFamily="18" charset="0"/>
            <a:ea typeface="Times New Roman" panose="02020603050405020304" pitchFamily="18" charset="0"/>
            <a:cs typeface="Arial" panose="020B0604020202020204" pitchFamily="34" charset="0"/>
          </a:endParaRPr>
        </a:p>
        <a:p>
          <a:endParaRPr lang="en-US" sz="1100"/>
        </a:p>
        <a:p>
          <a:r>
            <a:rPr lang="en-US" sz="1100" b="1">
              <a:solidFill>
                <a:srgbClr val="FF0000"/>
              </a:solidFill>
            </a:rPr>
            <a:t>Please note that hirings will overlap phases. The task</a:t>
          </a:r>
          <a:r>
            <a:rPr lang="en-US" sz="1100" b="1" baseline="0">
              <a:solidFill>
                <a:srgbClr val="FF0000"/>
              </a:solidFill>
            </a:rPr>
            <a:t> to hire critical personnel listed below will promptly start in this phase.</a:t>
          </a:r>
          <a:endParaRPr lang="en-US" sz="1100" b="1">
            <a:solidFill>
              <a:srgbClr val="FF0000"/>
            </a:solidFill>
          </a:endParaRPr>
        </a:p>
      </xdr:txBody>
    </xdr:sp>
    <xdr:clientData/>
  </xdr:twoCellAnchor>
  <xdr:twoCellAnchor>
    <xdr:from>
      <xdr:col>12</xdr:col>
      <xdr:colOff>0</xdr:colOff>
      <xdr:row>1</xdr:row>
      <xdr:rowOff>0</xdr:rowOff>
    </xdr:from>
    <xdr:to>
      <xdr:col>14</xdr:col>
      <xdr:colOff>187700</xdr:colOff>
      <xdr:row>2</xdr:row>
      <xdr:rowOff>81802</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F00-000003000000}"/>
            </a:ext>
          </a:extLst>
        </xdr:cNvPr>
        <xdr:cNvSpPr txBox="1"/>
      </xdr:nvSpPr>
      <xdr:spPr>
        <a:xfrm>
          <a:off x="7810500" y="219075"/>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twoCellAnchor>
    <xdr:from>
      <xdr:col>14</xdr:col>
      <xdr:colOff>304800</xdr:colOff>
      <xdr:row>0</xdr:row>
      <xdr:rowOff>209550</xdr:rowOff>
    </xdr:from>
    <xdr:to>
      <xdr:col>18</xdr:col>
      <xdr:colOff>416300</xdr:colOff>
      <xdr:row>2</xdr:row>
      <xdr:rowOff>72277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F00-000004000000}"/>
            </a:ext>
          </a:extLst>
        </xdr:cNvPr>
        <xdr:cNvSpPr txBox="1"/>
      </xdr:nvSpPr>
      <xdr:spPr>
        <a:xfrm>
          <a:off x="10639425" y="209550"/>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Manufacturing Plan Tab</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3</xdr:row>
      <xdr:rowOff>0</xdr:rowOff>
    </xdr:from>
    <xdr:to>
      <xdr:col>17</xdr:col>
      <xdr:colOff>152400</xdr:colOff>
      <xdr:row>8</xdr:row>
      <xdr:rowOff>9525</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1219200" y="635000"/>
          <a:ext cx="92964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b="1">
              <a:effectLst/>
              <a:latin typeface="Segoe UI" panose="020B0502040204020203" pitchFamily="34" charset="0"/>
              <a:ea typeface="Times New Roman" panose="02020603050405020304" pitchFamily="18" charset="0"/>
              <a:cs typeface="Arial" panose="020B0604020202020204" pitchFamily="34" charset="0"/>
            </a:rPr>
            <a:t>Start time:</a:t>
          </a:r>
          <a:r>
            <a:rPr lang="en-US" sz="1100">
              <a:effectLst/>
              <a:latin typeface="Segoe UI" panose="020B0502040204020203" pitchFamily="34" charset="0"/>
              <a:ea typeface="Times New Roman" panose="02020603050405020304" pitchFamily="18" charset="0"/>
              <a:cs typeface="Arial" panose="020B0604020202020204" pitchFamily="34" charset="0"/>
            </a:rPr>
            <a:t> The Beta plan start will overlap the Startup plan at the tail end to maintain integrity of ongoing processes and seamless continuity.</a:t>
          </a:r>
          <a:endParaRPr lang="en-US" sz="1200">
            <a:effectLst/>
            <a:latin typeface="Times New Roman" panose="02020603050405020304" pitchFamily="18" charset="0"/>
            <a:ea typeface="Times New Roman" panose="02020603050405020304" pitchFamily="18" charset="0"/>
            <a:cs typeface="Arial" panose="020B0604020202020204" pitchFamily="34" charset="0"/>
          </a:endParaRPr>
        </a:p>
        <a:p>
          <a:pPr marL="0" marR="0" algn="just">
            <a:spcBef>
              <a:spcPts val="0"/>
            </a:spcBef>
            <a:spcAft>
              <a:spcPts val="0"/>
            </a:spcAft>
          </a:pPr>
          <a:r>
            <a:rPr lang="en-US" sz="1100" b="1">
              <a:effectLst/>
              <a:latin typeface="Segoe UI" panose="020B0502040204020203" pitchFamily="34" charset="0"/>
              <a:ea typeface="Times New Roman" panose="02020603050405020304" pitchFamily="18" charset="0"/>
              <a:cs typeface="Arial" panose="020B0604020202020204" pitchFamily="34" charset="0"/>
            </a:rPr>
            <a:t>Duration:</a:t>
          </a:r>
          <a:r>
            <a:rPr lang="en-US" sz="1100">
              <a:effectLst/>
              <a:latin typeface="Segoe UI" panose="020B0502040204020203" pitchFamily="34" charset="0"/>
              <a:ea typeface="Times New Roman" panose="02020603050405020304" pitchFamily="18" charset="0"/>
              <a:cs typeface="Arial" panose="020B0604020202020204" pitchFamily="34" charset="0"/>
            </a:rPr>
            <a:t> 120 days (5-8 months)</a:t>
          </a:r>
        </a:p>
        <a:p>
          <a:pPr marL="0" marR="0" algn="just">
            <a:spcBef>
              <a:spcPts val="0"/>
            </a:spcBef>
            <a:spcAft>
              <a:spcPts val="0"/>
            </a:spcAft>
          </a:pPr>
          <a:endParaRPr lang="en-US" sz="1200">
            <a:effectLst/>
            <a:latin typeface="Times New Roman" panose="02020603050405020304" pitchFamily="18" charset="0"/>
            <a:ea typeface="Times New Roman" panose="02020603050405020304" pitchFamily="18" charset="0"/>
            <a:cs typeface="Arial" panose="020B0604020202020204" pitchFamily="34" charset="0"/>
          </a:endParaRPr>
        </a:p>
      </xdr:txBody>
    </xdr:sp>
    <xdr:clientData/>
  </xdr:twoCellAnchor>
  <xdr:twoCellAnchor>
    <xdr:from>
      <xdr:col>12</xdr:col>
      <xdr:colOff>0</xdr:colOff>
      <xdr:row>1</xdr:row>
      <xdr:rowOff>0</xdr:rowOff>
    </xdr:from>
    <xdr:to>
      <xdr:col>14</xdr:col>
      <xdr:colOff>187700</xdr:colOff>
      <xdr:row>2</xdr:row>
      <xdr:rowOff>81802</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1000-000003000000}"/>
            </a:ext>
          </a:extLst>
        </xdr:cNvPr>
        <xdr:cNvSpPr txBox="1"/>
      </xdr:nvSpPr>
      <xdr:spPr>
        <a:xfrm>
          <a:off x="7496175" y="219075"/>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twoCellAnchor>
    <xdr:from>
      <xdr:col>14</xdr:col>
      <xdr:colOff>352425</xdr:colOff>
      <xdr:row>1</xdr:row>
      <xdr:rowOff>0</xdr:rowOff>
    </xdr:from>
    <xdr:to>
      <xdr:col>17</xdr:col>
      <xdr:colOff>387725</xdr:colOff>
      <xdr:row>2</xdr:row>
      <xdr:rowOff>81802</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1000-000004000000}"/>
            </a:ext>
          </a:extLst>
        </xdr:cNvPr>
        <xdr:cNvSpPr txBox="1"/>
      </xdr:nvSpPr>
      <xdr:spPr>
        <a:xfrm>
          <a:off x="10372725" y="219075"/>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Manufacturing Plan Tab</a:t>
          </a:r>
        </a:p>
      </xdr:txBody>
    </xdr:sp>
    <xdr:clientData/>
  </xdr:twoCellAnchor>
  <xdr:twoCellAnchor>
    <xdr:from>
      <xdr:col>3</xdr:col>
      <xdr:colOff>19050</xdr:colOff>
      <xdr:row>62</xdr:row>
      <xdr:rowOff>152400</xdr:rowOff>
    </xdr:from>
    <xdr:to>
      <xdr:col>7</xdr:col>
      <xdr:colOff>406775</xdr:colOff>
      <xdr:row>64</xdr:row>
      <xdr:rowOff>28575</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1000-000005000000}"/>
            </a:ext>
          </a:extLst>
        </xdr:cNvPr>
        <xdr:cNvSpPr txBox="1"/>
      </xdr:nvSpPr>
      <xdr:spPr>
        <a:xfrm>
          <a:off x="1762125" y="14601825"/>
          <a:ext cx="27118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accent1">
                  <a:lumMod val="75000"/>
                </a:schemeClr>
              </a:solidFill>
              <a:latin typeface="Aptos" panose="020B0004020202020204" pitchFamily="34" charset="0"/>
            </a:rPr>
            <a:t>Assembly Line</a:t>
          </a:r>
          <a:r>
            <a:rPr lang="en-US" sz="1100" baseline="0">
              <a:solidFill>
                <a:schemeClr val="accent1">
                  <a:lumMod val="75000"/>
                </a:schemeClr>
              </a:solidFill>
              <a:latin typeface="Aptos" panose="020B0004020202020204" pitchFamily="34" charset="0"/>
            </a:rPr>
            <a:t> Software (Example only)</a:t>
          </a:r>
          <a:endParaRPr lang="en-US" sz="1100">
            <a:solidFill>
              <a:schemeClr val="accent1">
                <a:lumMod val="75000"/>
              </a:schemeClr>
            </a:solidFill>
            <a:latin typeface="Aptos" panose="020B000402020202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0</xdr:colOff>
      <xdr:row>3</xdr:row>
      <xdr:rowOff>0</xdr:rowOff>
    </xdr:from>
    <xdr:to>
      <xdr:col>17</xdr:col>
      <xdr:colOff>152400</xdr:colOff>
      <xdr:row>8</xdr:row>
      <xdr:rowOff>9525</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1219200" y="635000"/>
          <a:ext cx="1073785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b="1">
              <a:effectLst/>
              <a:latin typeface="Segoe UI" panose="020B0502040204020203" pitchFamily="34" charset="0"/>
              <a:ea typeface="Times New Roman" panose="02020603050405020304" pitchFamily="18" charset="0"/>
              <a:cs typeface="Arial" panose="020B0604020202020204" pitchFamily="34" charset="0"/>
            </a:rPr>
            <a:t>Start time:</a:t>
          </a:r>
          <a:r>
            <a:rPr lang="en-US" sz="1100">
              <a:effectLst/>
              <a:latin typeface="Segoe UI" panose="020B0502040204020203" pitchFamily="34" charset="0"/>
              <a:ea typeface="Times New Roman" panose="02020603050405020304" pitchFamily="18" charset="0"/>
              <a:cs typeface="Arial" panose="020B0604020202020204" pitchFamily="34" charset="0"/>
            </a:rPr>
            <a:t> Immediately after the Beta plan</a:t>
          </a:r>
          <a:endParaRPr lang="en-US" sz="1200">
            <a:effectLst/>
            <a:latin typeface="Times New Roman" panose="02020603050405020304" pitchFamily="18" charset="0"/>
            <a:ea typeface="Times New Roman" panose="02020603050405020304" pitchFamily="18" charset="0"/>
            <a:cs typeface="Arial" panose="020B0604020202020204" pitchFamily="34" charset="0"/>
          </a:endParaRPr>
        </a:p>
        <a:p>
          <a:pPr marL="0" marR="0" algn="just">
            <a:spcBef>
              <a:spcPts val="0"/>
            </a:spcBef>
            <a:spcAft>
              <a:spcPts val="0"/>
            </a:spcAft>
          </a:pPr>
          <a:r>
            <a:rPr lang="en-US" sz="1100" b="1">
              <a:effectLst/>
              <a:latin typeface="Segoe UI" panose="020B0502040204020203" pitchFamily="34" charset="0"/>
              <a:ea typeface="Times New Roman" panose="02020603050405020304" pitchFamily="18" charset="0"/>
              <a:cs typeface="Arial" panose="020B0604020202020204" pitchFamily="34" charset="0"/>
            </a:rPr>
            <a:t>Duration:</a:t>
          </a:r>
          <a:r>
            <a:rPr lang="en-US" sz="1100">
              <a:effectLst/>
              <a:latin typeface="Segoe UI" panose="020B0502040204020203" pitchFamily="34" charset="0"/>
              <a:ea typeface="Times New Roman" panose="02020603050405020304" pitchFamily="18" charset="0"/>
              <a:cs typeface="Arial" panose="020B0604020202020204" pitchFamily="34" charset="0"/>
            </a:rPr>
            <a:t> 120 days</a:t>
          </a:r>
          <a:endParaRPr lang="en-US" sz="1200">
            <a:effectLst/>
            <a:latin typeface="Times New Roman" panose="02020603050405020304" pitchFamily="18" charset="0"/>
            <a:ea typeface="Times New Roman" panose="02020603050405020304" pitchFamily="18" charset="0"/>
            <a:cs typeface="Arial" panose="020B0604020202020204" pitchFamily="34" charset="0"/>
          </a:endParaRPr>
        </a:p>
      </xdr:txBody>
    </xdr:sp>
    <xdr:clientData/>
  </xdr:twoCellAnchor>
  <xdr:twoCellAnchor>
    <xdr:from>
      <xdr:col>12</xdr:col>
      <xdr:colOff>0</xdr:colOff>
      <xdr:row>1</xdr:row>
      <xdr:rowOff>0</xdr:rowOff>
    </xdr:from>
    <xdr:to>
      <xdr:col>14</xdr:col>
      <xdr:colOff>178175</xdr:colOff>
      <xdr:row>2</xdr:row>
      <xdr:rowOff>81802</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1100-000003000000}"/>
            </a:ext>
          </a:extLst>
        </xdr:cNvPr>
        <xdr:cNvSpPr txBox="1"/>
      </xdr:nvSpPr>
      <xdr:spPr>
        <a:xfrm>
          <a:off x="7620000" y="219075"/>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twoCellAnchor>
    <xdr:from>
      <xdr:col>14</xdr:col>
      <xdr:colOff>257175</xdr:colOff>
      <xdr:row>1</xdr:row>
      <xdr:rowOff>0</xdr:rowOff>
    </xdr:from>
    <xdr:to>
      <xdr:col>18</xdr:col>
      <xdr:colOff>6725</xdr:colOff>
      <xdr:row>2</xdr:row>
      <xdr:rowOff>81802</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xdr:nvSpPr>
      <xdr:spPr>
        <a:xfrm>
          <a:off x="10410825" y="219075"/>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Manufacturing Plan Tab</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0</xdr:colOff>
      <xdr:row>3</xdr:row>
      <xdr:rowOff>0</xdr:rowOff>
    </xdr:from>
    <xdr:to>
      <xdr:col>17</xdr:col>
      <xdr:colOff>152400</xdr:colOff>
      <xdr:row>8</xdr:row>
      <xdr:rowOff>9525</xdr:rowOff>
    </xdr:to>
    <xdr:sp macro="" textlink="">
      <xdr:nvSpPr>
        <xdr:cNvPr id="2" name="TextBox 1">
          <a:extLst>
            <a:ext uri="{FF2B5EF4-FFF2-40B4-BE49-F238E27FC236}">
              <a16:creationId xmlns:a16="http://schemas.microsoft.com/office/drawing/2014/main" id="{00000000-0008-0000-1200-000002000000}"/>
            </a:ext>
          </a:extLst>
        </xdr:cNvPr>
        <xdr:cNvSpPr txBox="1"/>
      </xdr:nvSpPr>
      <xdr:spPr>
        <a:xfrm>
          <a:off x="1219200" y="635000"/>
          <a:ext cx="1073785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100" b="1">
              <a:effectLst/>
              <a:latin typeface="Segoe UI" panose="020B0502040204020203" pitchFamily="34" charset="0"/>
              <a:ea typeface="Times New Roman" panose="02020603050405020304" pitchFamily="18" charset="0"/>
              <a:cs typeface="Arial" panose="020B0604020202020204" pitchFamily="34" charset="0"/>
            </a:rPr>
            <a:t>Start time:</a:t>
          </a:r>
          <a:r>
            <a:rPr lang="en-US" sz="1100">
              <a:effectLst/>
              <a:latin typeface="Segoe UI" panose="020B0502040204020203" pitchFamily="34" charset="0"/>
              <a:ea typeface="Times New Roman" panose="02020603050405020304" pitchFamily="18" charset="0"/>
              <a:cs typeface="Arial" panose="020B0604020202020204" pitchFamily="34" charset="0"/>
            </a:rPr>
            <a:t> This phase begins subsequent to the production readiness</a:t>
          </a:r>
          <a:r>
            <a:rPr lang="en-US" sz="1100" baseline="0">
              <a:effectLst/>
              <a:latin typeface="Segoe UI" panose="020B0502040204020203" pitchFamily="34" charset="0"/>
              <a:ea typeface="Times New Roman" panose="02020603050405020304" pitchFamily="18" charset="0"/>
              <a:cs typeface="Arial" panose="020B0604020202020204" pitchFamily="34" charset="0"/>
            </a:rPr>
            <a:t> phase</a:t>
          </a:r>
          <a:r>
            <a:rPr lang="en-US" sz="1100">
              <a:effectLst/>
              <a:latin typeface="Segoe UI" panose="020B0502040204020203" pitchFamily="34" charset="0"/>
              <a:ea typeface="Times New Roman" panose="02020603050405020304" pitchFamily="18" charset="0"/>
              <a:cs typeface="Arial" panose="020B0604020202020204" pitchFamily="34" charset="0"/>
            </a:rPr>
            <a:t>.</a:t>
          </a:r>
          <a:endParaRPr lang="en-US" sz="1200">
            <a:effectLst/>
            <a:latin typeface="Times New Roman" panose="02020603050405020304" pitchFamily="18" charset="0"/>
            <a:ea typeface="Times New Roman" panose="02020603050405020304" pitchFamily="18" charset="0"/>
            <a:cs typeface="Arial" panose="020B0604020202020204" pitchFamily="34" charset="0"/>
          </a:endParaRPr>
        </a:p>
        <a:p>
          <a:pPr marL="0" marR="0" algn="just">
            <a:spcBef>
              <a:spcPts val="0"/>
            </a:spcBef>
            <a:spcAft>
              <a:spcPts val="0"/>
            </a:spcAft>
          </a:pPr>
          <a:r>
            <a:rPr lang="en-US" sz="1100" b="1">
              <a:effectLst/>
              <a:latin typeface="Segoe UI" panose="020B0502040204020203" pitchFamily="34" charset="0"/>
              <a:ea typeface="Times New Roman" panose="02020603050405020304" pitchFamily="18" charset="0"/>
              <a:cs typeface="Arial" panose="020B0604020202020204" pitchFamily="34" charset="0"/>
            </a:rPr>
            <a:t>Duration:</a:t>
          </a:r>
          <a:r>
            <a:rPr lang="en-US" sz="1100">
              <a:effectLst/>
              <a:latin typeface="Segoe UI" panose="020B0502040204020203" pitchFamily="34" charset="0"/>
              <a:ea typeface="Times New Roman" panose="02020603050405020304" pitchFamily="18" charset="0"/>
              <a:cs typeface="Arial" panose="020B0604020202020204" pitchFamily="34" charset="0"/>
            </a:rPr>
            <a:t> 13-18 months</a:t>
          </a:r>
          <a:endParaRPr lang="en-US" sz="1200">
            <a:effectLst/>
            <a:latin typeface="Times New Roman" panose="02020603050405020304" pitchFamily="18" charset="0"/>
            <a:ea typeface="Times New Roman" panose="02020603050405020304" pitchFamily="18" charset="0"/>
            <a:cs typeface="Arial" panose="020B0604020202020204" pitchFamily="34" charset="0"/>
          </a:endParaRPr>
        </a:p>
      </xdr:txBody>
    </xdr:sp>
    <xdr:clientData/>
  </xdr:twoCellAnchor>
  <xdr:twoCellAnchor>
    <xdr:from>
      <xdr:col>11</xdr:col>
      <xdr:colOff>627529</xdr:colOff>
      <xdr:row>0</xdr:row>
      <xdr:rowOff>145676</xdr:rowOff>
    </xdr:from>
    <xdr:to>
      <xdr:col>13</xdr:col>
      <xdr:colOff>672354</xdr:colOff>
      <xdr:row>1</xdr:row>
      <xdr:rowOff>212910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1200-000003000000}"/>
            </a:ext>
          </a:extLst>
        </xdr:cNvPr>
        <xdr:cNvSpPr txBox="1"/>
      </xdr:nvSpPr>
      <xdr:spPr>
        <a:xfrm>
          <a:off x="7037294" y="145676"/>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twoCellAnchor>
    <xdr:from>
      <xdr:col>13</xdr:col>
      <xdr:colOff>862852</xdr:colOff>
      <xdr:row>0</xdr:row>
      <xdr:rowOff>145676</xdr:rowOff>
    </xdr:from>
    <xdr:to>
      <xdr:col>17</xdr:col>
      <xdr:colOff>571501</xdr:colOff>
      <xdr:row>1</xdr:row>
      <xdr:rowOff>212910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1200-000004000000}"/>
            </a:ext>
          </a:extLst>
        </xdr:cNvPr>
        <xdr:cNvSpPr txBox="1"/>
      </xdr:nvSpPr>
      <xdr:spPr>
        <a:xfrm>
          <a:off x="9939617" y="145676"/>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Manufacturing Plan Tab</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1181100</xdr:colOff>
      <xdr:row>27</xdr:row>
      <xdr:rowOff>38100</xdr:rowOff>
    </xdr:from>
    <xdr:to>
      <xdr:col>5</xdr:col>
      <xdr:colOff>160020</xdr:colOff>
      <xdr:row>29</xdr:row>
      <xdr:rowOff>152400</xdr:rowOff>
    </xdr:to>
    <xdr:sp macro="" textlink="">
      <xdr:nvSpPr>
        <xdr:cNvPr id="3" name="Callout: Double Bent Line 2">
          <a:extLst>
            <a:ext uri="{FF2B5EF4-FFF2-40B4-BE49-F238E27FC236}">
              <a16:creationId xmlns:a16="http://schemas.microsoft.com/office/drawing/2014/main" id="{00000000-0008-0000-0100-000003000000}"/>
            </a:ext>
          </a:extLst>
        </xdr:cNvPr>
        <xdr:cNvSpPr/>
      </xdr:nvSpPr>
      <xdr:spPr>
        <a:xfrm>
          <a:off x="2430780" y="4975860"/>
          <a:ext cx="3086100" cy="480060"/>
        </a:xfrm>
        <a:prstGeom prst="borderCallout3">
          <a:avLst>
            <a:gd name="adj1" fmla="val 33844"/>
            <a:gd name="adj2" fmla="val 309"/>
            <a:gd name="adj3" fmla="val 33844"/>
            <a:gd name="adj4" fmla="val -43580"/>
            <a:gd name="adj5" fmla="val -217086"/>
            <a:gd name="adj6" fmla="val -43334"/>
            <a:gd name="adj7" fmla="val -217362"/>
            <a:gd name="adj8" fmla="val -34012"/>
          </a:avLst>
        </a:prstGeom>
        <a:solidFill>
          <a:schemeClr val="bg1"/>
        </a:solidFill>
        <a:ln>
          <a:solidFill>
            <a:schemeClr val="tx1"/>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Low volume significantly</a:t>
          </a:r>
          <a:r>
            <a:rPr lang="en-US" sz="1100" baseline="0">
              <a:solidFill>
                <a:schemeClr val="tx1"/>
              </a:solidFill>
            </a:rPr>
            <a:t> high margin AAM VTOL Aircraft application</a:t>
          </a:r>
          <a:endParaRPr lang="en-US" sz="1100">
            <a:solidFill>
              <a:schemeClr val="tx1"/>
            </a:solidFill>
          </a:endParaRPr>
        </a:p>
      </xdr:txBody>
    </xdr:sp>
    <xdr:clientData/>
  </xdr:twoCellAnchor>
  <xdr:twoCellAnchor>
    <xdr:from>
      <xdr:col>2</xdr:col>
      <xdr:colOff>1089660</xdr:colOff>
      <xdr:row>31</xdr:row>
      <xdr:rowOff>38100</xdr:rowOff>
    </xdr:from>
    <xdr:to>
      <xdr:col>5</xdr:col>
      <xdr:colOff>68580</xdr:colOff>
      <xdr:row>33</xdr:row>
      <xdr:rowOff>152400</xdr:rowOff>
    </xdr:to>
    <xdr:sp macro="" textlink="">
      <xdr:nvSpPr>
        <xdr:cNvPr id="4" name="Callout: Double Bent Line 3">
          <a:extLst>
            <a:ext uri="{FF2B5EF4-FFF2-40B4-BE49-F238E27FC236}">
              <a16:creationId xmlns:a16="http://schemas.microsoft.com/office/drawing/2014/main" id="{00000000-0008-0000-0100-000004000000}"/>
            </a:ext>
          </a:extLst>
        </xdr:cNvPr>
        <xdr:cNvSpPr/>
      </xdr:nvSpPr>
      <xdr:spPr>
        <a:xfrm>
          <a:off x="2339340" y="5707380"/>
          <a:ext cx="3086100" cy="480060"/>
        </a:xfrm>
        <a:prstGeom prst="borderCallout3">
          <a:avLst>
            <a:gd name="adj1" fmla="val 33844"/>
            <a:gd name="adj2" fmla="val 309"/>
            <a:gd name="adj3" fmla="val 33844"/>
            <a:gd name="adj4" fmla="val -43580"/>
            <a:gd name="adj5" fmla="val -217086"/>
            <a:gd name="adj6" fmla="val -43334"/>
            <a:gd name="adj7" fmla="val -217362"/>
            <a:gd name="adj8" fmla="val -34012"/>
          </a:avLst>
        </a:prstGeom>
        <a:solidFill>
          <a:schemeClr val="bg1"/>
        </a:solidFill>
        <a:ln>
          <a:solidFill>
            <a:schemeClr val="tx1"/>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Low volume significantly</a:t>
          </a:r>
          <a:r>
            <a:rPr lang="en-US" sz="1100" baseline="0">
              <a:solidFill>
                <a:schemeClr val="tx1"/>
              </a:solidFill>
            </a:rPr>
            <a:t> high margin AAM VTOL Aircraft application</a:t>
          </a:r>
          <a:endParaRPr lang="en-US" sz="1100">
            <a:solidFill>
              <a:schemeClr val="tx1"/>
            </a:solidFill>
          </a:endParaRPr>
        </a:p>
      </xdr:txBody>
    </xdr:sp>
    <xdr:clientData/>
  </xdr:twoCellAnchor>
  <xdr:twoCellAnchor>
    <xdr:from>
      <xdr:col>2</xdr:col>
      <xdr:colOff>1003935</xdr:colOff>
      <xdr:row>31</xdr:row>
      <xdr:rowOff>38100</xdr:rowOff>
    </xdr:from>
    <xdr:to>
      <xdr:col>4</xdr:col>
      <xdr:colOff>1011555</xdr:colOff>
      <xdr:row>33</xdr:row>
      <xdr:rowOff>152400</xdr:rowOff>
    </xdr:to>
    <xdr:sp macro="" textlink="">
      <xdr:nvSpPr>
        <xdr:cNvPr id="2" name="Callout: Double Bent Line 1">
          <a:extLst>
            <a:ext uri="{FF2B5EF4-FFF2-40B4-BE49-F238E27FC236}">
              <a16:creationId xmlns:a16="http://schemas.microsoft.com/office/drawing/2014/main" id="{00000000-0008-0000-0100-000002000000}"/>
            </a:ext>
          </a:extLst>
        </xdr:cNvPr>
        <xdr:cNvSpPr/>
      </xdr:nvSpPr>
      <xdr:spPr>
        <a:xfrm>
          <a:off x="2223135" y="5943600"/>
          <a:ext cx="2969895" cy="495300"/>
        </a:xfrm>
        <a:prstGeom prst="borderCallout3">
          <a:avLst>
            <a:gd name="adj1" fmla="val 33844"/>
            <a:gd name="adj2" fmla="val 309"/>
            <a:gd name="adj3" fmla="val 33844"/>
            <a:gd name="adj4" fmla="val -43580"/>
            <a:gd name="adj5" fmla="val -217086"/>
            <a:gd name="adj6" fmla="val -43334"/>
            <a:gd name="adj7" fmla="val -217362"/>
            <a:gd name="adj8" fmla="val -34012"/>
          </a:avLst>
        </a:prstGeom>
        <a:solidFill>
          <a:schemeClr val="bg1"/>
        </a:solidFill>
        <a:ln>
          <a:solidFill>
            <a:schemeClr val="tx1"/>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Low volume significantly</a:t>
          </a:r>
          <a:r>
            <a:rPr lang="en-US" sz="1100" baseline="0">
              <a:solidFill>
                <a:schemeClr val="tx1"/>
              </a:solidFill>
            </a:rPr>
            <a:t> high margin AAM VTOL Aircraft application</a:t>
          </a:r>
          <a:endParaRPr lang="en-US" sz="1100">
            <a:solidFill>
              <a:schemeClr val="tx1"/>
            </a:solidFill>
          </a:endParaRPr>
        </a:p>
      </xdr:txBody>
    </xdr:sp>
    <xdr:clientData/>
  </xdr:twoCellAnchor>
  <xdr:twoCellAnchor>
    <xdr:from>
      <xdr:col>2</xdr:col>
      <xdr:colOff>962025</xdr:colOff>
      <xdr:row>30</xdr:row>
      <xdr:rowOff>47625</xdr:rowOff>
    </xdr:from>
    <xdr:to>
      <xdr:col>5</xdr:col>
      <xdr:colOff>314325</xdr:colOff>
      <xdr:row>34</xdr:row>
      <xdr:rowOff>47625</xdr:rowOff>
    </xdr:to>
    <xdr:sp macro="" textlink="">
      <xdr:nvSpPr>
        <xdr:cNvPr id="6" name="Callout: Double Bent Line 5">
          <a:extLst>
            <a:ext uri="{FF2B5EF4-FFF2-40B4-BE49-F238E27FC236}">
              <a16:creationId xmlns:a16="http://schemas.microsoft.com/office/drawing/2014/main" id="{00000000-0008-0000-0100-000006000000}"/>
            </a:ext>
          </a:extLst>
        </xdr:cNvPr>
        <xdr:cNvSpPr/>
      </xdr:nvSpPr>
      <xdr:spPr>
        <a:xfrm>
          <a:off x="2181225" y="5762625"/>
          <a:ext cx="3343275" cy="762000"/>
        </a:xfrm>
        <a:prstGeom prst="borderCallout3">
          <a:avLst>
            <a:gd name="adj1" fmla="val 33844"/>
            <a:gd name="adj2" fmla="val 309"/>
            <a:gd name="adj3" fmla="val 33844"/>
            <a:gd name="adj4" fmla="val -43580"/>
            <a:gd name="adj5" fmla="val -217086"/>
            <a:gd name="adj6" fmla="val -43334"/>
            <a:gd name="adj7" fmla="val -217362"/>
            <a:gd name="adj8" fmla="val -29169"/>
          </a:avLst>
        </a:prstGeom>
        <a:solidFill>
          <a:schemeClr val="bg1"/>
        </a:solidFill>
        <a:ln>
          <a:solidFill>
            <a:schemeClr val="tx1"/>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Low volume significantly</a:t>
          </a:r>
          <a:r>
            <a:rPr lang="en-US" sz="1100" baseline="0">
              <a:solidFill>
                <a:schemeClr val="tx1"/>
              </a:solidFill>
            </a:rPr>
            <a:t> high margin AAM VTOL Aircraft application.(Aviation Rotapower® Engine. Not in production plan) </a:t>
          </a:r>
          <a:endParaRPr lang="en-US" sz="1100">
            <a:solidFill>
              <a:schemeClr val="tx1"/>
            </a:solidFill>
          </a:endParaRPr>
        </a:p>
      </xdr:txBody>
    </xdr:sp>
    <xdr:clientData/>
  </xdr:twoCellAnchor>
  <xdr:twoCellAnchor>
    <xdr:from>
      <xdr:col>11</xdr:col>
      <xdr:colOff>257175</xdr:colOff>
      <xdr:row>1</xdr:row>
      <xdr:rowOff>28575</xdr:rowOff>
    </xdr:from>
    <xdr:to>
      <xdr:col>15</xdr:col>
      <xdr:colOff>530600</xdr:colOff>
      <xdr:row>2</xdr:row>
      <xdr:rowOff>129427</xdr:rowOff>
    </xdr:to>
    <xdr:sp macro="" textlink="">
      <xdr:nvSpPr>
        <xdr:cNvPr id="5" name="TextBox 4">
          <a:hlinkClick xmlns:r="http://schemas.openxmlformats.org/officeDocument/2006/relationships" r:id="rId1"/>
          <a:extLst>
            <a:ext uri="{FF2B5EF4-FFF2-40B4-BE49-F238E27FC236}">
              <a16:creationId xmlns:a16="http://schemas.microsoft.com/office/drawing/2014/main" id="{00000000-0008-0000-0100-000005000000}"/>
            </a:ext>
          </a:extLst>
        </xdr:cNvPr>
        <xdr:cNvSpPr txBox="1"/>
      </xdr:nvSpPr>
      <xdr:spPr>
        <a:xfrm>
          <a:off x="9124950" y="219075"/>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twoCellAnchor>
    <xdr:from>
      <xdr:col>6</xdr:col>
      <xdr:colOff>133350</xdr:colOff>
      <xdr:row>14</xdr:row>
      <xdr:rowOff>95250</xdr:rowOff>
    </xdr:from>
    <xdr:to>
      <xdr:col>14</xdr:col>
      <xdr:colOff>112395</xdr:colOff>
      <xdr:row>18</xdr:row>
      <xdr:rowOff>171450</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5953125" y="2762250"/>
          <a:ext cx="4855845" cy="838200"/>
        </a:xfrm>
        <a:prstGeom prst="rect">
          <a:avLst/>
        </a:prstGeom>
        <a:solidFill>
          <a:schemeClr val="accent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baseline="0">
              <a:solidFill>
                <a:schemeClr val="bg1"/>
              </a:solidFill>
            </a:rPr>
            <a:t>Based on this model to initially produce Rotapower® 530cc engine, with the initial funding of $6 million, the projected gross sales revenues is over $51.4 million and cash on hand estimated at $24.7 million, in 36 months.</a:t>
          </a:r>
        </a:p>
      </xdr:txBody>
    </xdr:sp>
    <xdr:clientData/>
  </xdr:twoCellAnchor>
  <xdr:twoCellAnchor>
    <xdr:from>
      <xdr:col>6</xdr:col>
      <xdr:colOff>28575</xdr:colOff>
      <xdr:row>19</xdr:row>
      <xdr:rowOff>47625</xdr:rowOff>
    </xdr:from>
    <xdr:to>
      <xdr:col>14</xdr:col>
      <xdr:colOff>371475</xdr:colOff>
      <xdr:row>30</xdr:row>
      <xdr:rowOff>114300</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5848350" y="3667125"/>
          <a:ext cx="5219700" cy="2162175"/>
        </a:xfrm>
        <a:prstGeom prst="rect">
          <a:avLst/>
        </a:prstGeom>
        <a:solidFill>
          <a:schemeClr val="accent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00" b="1">
              <a:solidFill>
                <a:schemeClr val="bg1"/>
              </a:solidFill>
            </a:rPr>
            <a:t>1. $6 million to achieve modest production of FM's 530cc Rotapower® engine for non-aviation use.</a:t>
          </a:r>
          <a:endParaRPr lang="en-US" sz="1400" b="1" baseline="0">
            <a:solidFill>
              <a:schemeClr val="bg1"/>
            </a:solidFill>
          </a:endParaRPr>
        </a:p>
        <a:p>
          <a:pPr algn="l"/>
          <a:endParaRPr lang="en-US" sz="1400" b="1" baseline="0">
            <a:solidFill>
              <a:schemeClr val="bg1"/>
            </a:solidFill>
          </a:endParaRPr>
        </a:p>
        <a:p>
          <a:pPr algn="l"/>
          <a:r>
            <a:rPr lang="en-US" sz="1400" b="1" baseline="0">
              <a:solidFill>
                <a:schemeClr val="bg1"/>
              </a:solidFill>
            </a:rPr>
            <a:t>2. Additional $5 million to fully develop its 5 stroke Rotapower® engine which has the following additional attributes where noise is particularly important in the air taxi application.</a:t>
          </a:r>
        </a:p>
        <a:p>
          <a:pPr algn="l"/>
          <a:endParaRPr lang="en-US" sz="1400" b="1" baseline="0">
            <a:solidFill>
              <a:schemeClr val="bg1"/>
            </a:solidFill>
          </a:endParaRPr>
        </a:p>
        <a:p>
          <a:pPr algn="l"/>
          <a:r>
            <a:rPr lang="en-US" sz="1400" b="1" baseline="0">
              <a:solidFill>
                <a:schemeClr val="bg1"/>
              </a:solidFill>
            </a:rPr>
            <a:t>3. Additional $5 million to develop a production model prototype of Skycar 100X.</a:t>
          </a:r>
        </a:p>
        <a:p>
          <a:pPr algn="l"/>
          <a:endParaRPr lang="en-US" sz="1400" b="1" baseline="0">
            <a:solidFill>
              <a:schemeClr val="bg1"/>
            </a:solidFill>
          </a:endParaRPr>
        </a:p>
      </xdr:txBody>
    </xdr:sp>
    <xdr:clientData/>
  </xdr:twoCellAnchor>
  <xdr:twoCellAnchor>
    <xdr:from>
      <xdr:col>6</xdr:col>
      <xdr:colOff>1</xdr:colOff>
      <xdr:row>31</xdr:row>
      <xdr:rowOff>0</xdr:rowOff>
    </xdr:from>
    <xdr:to>
      <xdr:col>14</xdr:col>
      <xdr:colOff>361951</xdr:colOff>
      <xdr:row>34</xdr:row>
      <xdr:rowOff>161925</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5819776" y="5905500"/>
          <a:ext cx="5238750" cy="733425"/>
        </a:xfrm>
        <a:prstGeom prst="rect">
          <a:avLst/>
        </a:prstGeom>
        <a:solidFill>
          <a:schemeClr val="accent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rPr>
            <a:t>This Financial Model presented in the spreadsheet</a:t>
          </a:r>
          <a:r>
            <a:rPr lang="en-US" sz="1400" b="1" baseline="0">
              <a:solidFill>
                <a:schemeClr val="bg1"/>
              </a:solidFill>
            </a:rPr>
            <a:t> is based on the initial demand for popular 530cc Rotapower® engine.</a:t>
          </a:r>
          <a:endParaRPr lang="en-US" sz="1400" b="1">
            <a:solidFill>
              <a:schemeClr val="bg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717177</xdr:colOff>
      <xdr:row>2</xdr:row>
      <xdr:rowOff>134470</xdr:rowOff>
    </xdr:from>
    <xdr:to>
      <xdr:col>6</xdr:col>
      <xdr:colOff>369795</xdr:colOff>
      <xdr:row>4</xdr:row>
      <xdr:rowOff>44822</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300-000002000000}"/>
            </a:ext>
          </a:extLst>
        </xdr:cNvPr>
        <xdr:cNvSpPr txBox="1"/>
      </xdr:nvSpPr>
      <xdr:spPr>
        <a:xfrm>
          <a:off x="2644589" y="515470"/>
          <a:ext cx="2319618"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487173</xdr:colOff>
      <xdr:row>19</xdr:row>
      <xdr:rowOff>159123</xdr:rowOff>
    </xdr:from>
    <xdr:to>
      <xdr:col>7</xdr:col>
      <xdr:colOff>581025</xdr:colOff>
      <xdr:row>22</xdr:row>
      <xdr:rowOff>159123</xdr:rowOff>
    </xdr:to>
    <xdr:sp macro="" textlink="">
      <xdr:nvSpPr>
        <xdr:cNvPr id="12" name="Speech Bubble: Rectangle with Corners Rounded 11">
          <a:extLst>
            <a:ext uri="{FF2B5EF4-FFF2-40B4-BE49-F238E27FC236}">
              <a16:creationId xmlns:a16="http://schemas.microsoft.com/office/drawing/2014/main" id="{00000000-0008-0000-1400-00000C000000}"/>
            </a:ext>
          </a:extLst>
        </xdr:cNvPr>
        <xdr:cNvSpPr/>
      </xdr:nvSpPr>
      <xdr:spPr>
        <a:xfrm>
          <a:off x="3535173" y="3778623"/>
          <a:ext cx="1313052" cy="571500"/>
        </a:xfrm>
        <a:prstGeom prst="wedgeRoundRectCallout">
          <a:avLst>
            <a:gd name="adj1" fmla="val -38565"/>
            <a:gd name="adj2" fmla="val 161655"/>
            <a:gd name="adj3" fmla="val 16667"/>
          </a:avLst>
        </a:prstGeom>
        <a:solidFill>
          <a:schemeClr val="accent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000" b="1" baseline="0">
              <a:solidFill>
                <a:schemeClr val="accent4">
                  <a:lumMod val="60000"/>
                  <a:lumOff val="40000"/>
                </a:schemeClr>
              </a:solidFill>
              <a:latin typeface="+mn-lt"/>
              <a:ea typeface="+mn-ea"/>
              <a:cs typeface="+mn-cs"/>
            </a:rPr>
            <a:t>Assembly line software selection</a:t>
          </a:r>
        </a:p>
      </xdr:txBody>
    </xdr:sp>
    <xdr:clientData/>
  </xdr:twoCellAnchor>
  <xdr:twoCellAnchor>
    <xdr:from>
      <xdr:col>0</xdr:col>
      <xdr:colOff>179198</xdr:colOff>
      <xdr:row>0</xdr:row>
      <xdr:rowOff>74083</xdr:rowOff>
    </xdr:from>
    <xdr:to>
      <xdr:col>27</xdr:col>
      <xdr:colOff>211667</xdr:colOff>
      <xdr:row>66</xdr:row>
      <xdr:rowOff>42342</xdr:rowOff>
    </xdr:to>
    <xdr:grpSp>
      <xdr:nvGrpSpPr>
        <xdr:cNvPr id="2" name="Group 1">
          <a:extLst>
            <a:ext uri="{FF2B5EF4-FFF2-40B4-BE49-F238E27FC236}">
              <a16:creationId xmlns:a16="http://schemas.microsoft.com/office/drawing/2014/main" id="{00000000-0008-0000-1400-000002000000}"/>
            </a:ext>
          </a:extLst>
        </xdr:cNvPr>
        <xdr:cNvGrpSpPr/>
      </xdr:nvGrpSpPr>
      <xdr:grpSpPr>
        <a:xfrm>
          <a:off x="179198" y="74083"/>
          <a:ext cx="16605969" cy="12541259"/>
          <a:chOff x="179198" y="74083"/>
          <a:chExt cx="16605969" cy="12541259"/>
        </a:xfrm>
      </xdr:grpSpPr>
      <xdr:graphicFrame macro="">
        <xdr:nvGraphicFramePr>
          <xdr:cNvPr id="9" name="Chart 8">
            <a:extLst>
              <a:ext uri="{FF2B5EF4-FFF2-40B4-BE49-F238E27FC236}">
                <a16:creationId xmlns:a16="http://schemas.microsoft.com/office/drawing/2014/main" id="{00000000-0008-0000-1400-000009000000}"/>
              </a:ext>
            </a:extLst>
          </xdr:cNvPr>
          <xdr:cNvGraphicFramePr>
            <a:graphicFrameLocks/>
          </xdr:cNvGraphicFramePr>
        </xdr:nvGraphicFramePr>
        <xdr:xfrm>
          <a:off x="179917" y="6638934"/>
          <a:ext cx="16605250" cy="5976408"/>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3" name="Chart 2">
            <a:extLst>
              <a:ext uri="{FF2B5EF4-FFF2-40B4-BE49-F238E27FC236}">
                <a16:creationId xmlns:a16="http://schemas.microsoft.com/office/drawing/2014/main" id="{00000000-0008-0000-1400-000003000000}"/>
              </a:ext>
            </a:extLst>
          </xdr:cNvPr>
          <xdr:cNvGraphicFramePr/>
        </xdr:nvGraphicFramePr>
        <xdr:xfrm>
          <a:off x="179198" y="495587"/>
          <a:ext cx="16531885" cy="6013172"/>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8" name="TextBox 7">
            <a:hlinkClick xmlns:r="http://schemas.openxmlformats.org/officeDocument/2006/relationships" r:id="rId3"/>
            <a:extLst>
              <a:ext uri="{FF2B5EF4-FFF2-40B4-BE49-F238E27FC236}">
                <a16:creationId xmlns:a16="http://schemas.microsoft.com/office/drawing/2014/main" id="{00000000-0008-0000-1400-000008000000}"/>
              </a:ext>
            </a:extLst>
          </xdr:cNvPr>
          <xdr:cNvSpPr txBox="1"/>
        </xdr:nvSpPr>
        <xdr:spPr>
          <a:xfrm>
            <a:off x="7609417" y="74083"/>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304800</xdr:colOff>
      <xdr:row>1</xdr:row>
      <xdr:rowOff>0</xdr:rowOff>
    </xdr:from>
    <xdr:to>
      <xdr:col>28</xdr:col>
      <xdr:colOff>495300</xdr:colOff>
      <xdr:row>37</xdr:row>
      <xdr:rowOff>171450</xdr:rowOff>
    </xdr:to>
    <xdr:grpSp>
      <xdr:nvGrpSpPr>
        <xdr:cNvPr id="4" name="Group 3">
          <a:extLst>
            <a:ext uri="{FF2B5EF4-FFF2-40B4-BE49-F238E27FC236}">
              <a16:creationId xmlns:a16="http://schemas.microsoft.com/office/drawing/2014/main" id="{00000000-0008-0000-1500-000004000000}"/>
            </a:ext>
          </a:extLst>
        </xdr:cNvPr>
        <xdr:cNvGrpSpPr/>
      </xdr:nvGrpSpPr>
      <xdr:grpSpPr>
        <a:xfrm>
          <a:off x="304800" y="190500"/>
          <a:ext cx="17259300" cy="7029450"/>
          <a:chOff x="304800" y="190500"/>
          <a:chExt cx="17259300" cy="7029450"/>
        </a:xfrm>
      </xdr:grpSpPr>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304800" y="590550"/>
          <a:ext cx="17259300" cy="66294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2">
            <a:hlinkClick xmlns:r="http://schemas.openxmlformats.org/officeDocument/2006/relationships" r:id="rId2"/>
            <a:extLst>
              <a:ext uri="{FF2B5EF4-FFF2-40B4-BE49-F238E27FC236}">
                <a16:creationId xmlns:a16="http://schemas.microsoft.com/office/drawing/2014/main" id="{00000000-0008-0000-1500-000003000000}"/>
              </a:ext>
            </a:extLst>
          </xdr:cNvPr>
          <xdr:cNvSpPr txBox="1"/>
        </xdr:nvSpPr>
        <xdr:spPr>
          <a:xfrm>
            <a:off x="6096000" y="190500"/>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219075</xdr:colOff>
      <xdr:row>1</xdr:row>
      <xdr:rowOff>0</xdr:rowOff>
    </xdr:from>
    <xdr:to>
      <xdr:col>11</xdr:col>
      <xdr:colOff>2930900</xdr:colOff>
      <xdr:row>2</xdr:row>
      <xdr:rowOff>129427</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600-000002000000}"/>
            </a:ext>
          </a:extLst>
        </xdr:cNvPr>
        <xdr:cNvSpPr txBox="1"/>
      </xdr:nvSpPr>
      <xdr:spPr>
        <a:xfrm>
          <a:off x="12039600" y="161925"/>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84667</xdr:colOff>
      <xdr:row>1</xdr:row>
      <xdr:rowOff>127000</xdr:rowOff>
    </xdr:from>
    <xdr:to>
      <xdr:col>23</xdr:col>
      <xdr:colOff>118909</xdr:colOff>
      <xdr:row>3</xdr:row>
      <xdr:rowOff>100852</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700-000002000000}"/>
            </a:ext>
          </a:extLst>
        </xdr:cNvPr>
        <xdr:cNvSpPr txBox="1"/>
      </xdr:nvSpPr>
      <xdr:spPr>
        <a:xfrm>
          <a:off x="14245167" y="285750"/>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0</xdr:colOff>
      <xdr:row>1</xdr:row>
      <xdr:rowOff>0</xdr:rowOff>
    </xdr:from>
    <xdr:to>
      <xdr:col>15</xdr:col>
      <xdr:colOff>273425</xdr:colOff>
      <xdr:row>2</xdr:row>
      <xdr:rowOff>100852</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800-000002000000}"/>
            </a:ext>
          </a:extLst>
        </xdr:cNvPr>
        <xdr:cNvSpPr txBox="1"/>
      </xdr:nvSpPr>
      <xdr:spPr>
        <a:xfrm>
          <a:off x="8791575" y="190500"/>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twoCellAnchor>
    <xdr:from>
      <xdr:col>5</xdr:col>
      <xdr:colOff>314325</xdr:colOff>
      <xdr:row>7</xdr:row>
      <xdr:rowOff>180975</xdr:rowOff>
    </xdr:from>
    <xdr:to>
      <xdr:col>9</xdr:col>
      <xdr:colOff>587750</xdr:colOff>
      <xdr:row>9</xdr:row>
      <xdr:rowOff>91327</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1800-000003000000}"/>
            </a:ext>
          </a:extLst>
        </xdr:cNvPr>
        <xdr:cNvSpPr txBox="1"/>
      </xdr:nvSpPr>
      <xdr:spPr>
        <a:xfrm>
          <a:off x="5448300" y="1514475"/>
          <a:ext cx="2711825" cy="2913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solidFill>
                <a:schemeClr val="accent1">
                  <a:lumMod val="75000"/>
                </a:schemeClr>
              </a:solidFill>
              <a:latin typeface="Aptos" panose="020B0004020202020204" pitchFamily="34" charset="0"/>
            </a:rPr>
            <a:t>[Click Here</a:t>
          </a:r>
          <a:r>
            <a:rPr lang="en-US" sz="1200" baseline="0">
              <a:solidFill>
                <a:schemeClr val="accent1">
                  <a:lumMod val="75000"/>
                </a:schemeClr>
              </a:solidFill>
              <a:latin typeface="Aptos" panose="020B0004020202020204" pitchFamily="34" charset="0"/>
            </a:rPr>
            <a:t> to View Survey</a:t>
          </a:r>
          <a:r>
            <a:rPr lang="en-US" sz="1200">
              <a:solidFill>
                <a:schemeClr val="accent1">
                  <a:lumMod val="75000"/>
                </a:schemeClr>
              </a:solidFill>
              <a:latin typeface="Aptos" panose="020B0004020202020204" pitchFamily="34" charset="0"/>
            </a:rPr>
            <a:t>]</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5276849</xdr:colOff>
      <xdr:row>0</xdr:row>
      <xdr:rowOff>31172</xdr:rowOff>
    </xdr:from>
    <xdr:to>
      <xdr:col>4</xdr:col>
      <xdr:colOff>31172</xdr:colOff>
      <xdr:row>0</xdr:row>
      <xdr:rowOff>335972</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05649" y="31172"/>
          <a:ext cx="1221798" cy="304800"/>
        </a:xfrm>
        <a:prstGeom prst="rect">
          <a:avLst/>
        </a:prstGeom>
      </xdr:spPr>
    </xdr:pic>
    <xdr:clientData/>
  </xdr:twoCellAnchor>
  <xdr:twoCellAnchor editAs="oneCell">
    <xdr:from>
      <xdr:col>1</xdr:col>
      <xdr:colOff>2575560</xdr:colOff>
      <xdr:row>173</xdr:row>
      <xdr:rowOff>22860</xdr:rowOff>
    </xdr:from>
    <xdr:to>
      <xdr:col>1</xdr:col>
      <xdr:colOff>4412139</xdr:colOff>
      <xdr:row>176</xdr:row>
      <xdr:rowOff>45765</xdr:rowOff>
    </xdr:to>
    <xdr:pic>
      <xdr:nvPicPr>
        <xdr:cNvPr id="3" name="Picture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2947035" y="35627310"/>
          <a:ext cx="1836579" cy="508680"/>
        </a:xfrm>
        <a:prstGeom prst="rect">
          <a:avLst/>
        </a:prstGeom>
        <a:ln>
          <a:solidFill>
            <a:schemeClr val="bg1">
              <a:lumMod val="75000"/>
            </a:schemeClr>
          </a:solidFill>
        </a:ln>
        <a:effectLst>
          <a:outerShdw blurRad="50800" dist="38100" dir="2700000" algn="tl" rotWithShape="0">
            <a:prstClr val="black">
              <a:alpha val="40000"/>
            </a:prst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0</xdr:colOff>
      <xdr:row>138</xdr:row>
      <xdr:rowOff>0</xdr:rowOff>
    </xdr:from>
    <xdr:to>
      <xdr:col>11</xdr:col>
      <xdr:colOff>304800</xdr:colOff>
      <xdr:row>139</xdr:row>
      <xdr:rowOff>104775</xdr:rowOff>
    </xdr:to>
    <xdr:sp macro="" textlink="">
      <xdr:nvSpPr>
        <xdr:cNvPr id="11265" name="AutoShape 1">
          <a:hlinkClick xmlns:r="http://schemas.openxmlformats.org/officeDocument/2006/relationships" r:id="rId1"/>
          <a:extLst>
            <a:ext uri="{FF2B5EF4-FFF2-40B4-BE49-F238E27FC236}">
              <a16:creationId xmlns:a16="http://schemas.microsoft.com/office/drawing/2014/main" id="{00000000-0008-0000-0200-0000012C0000}"/>
            </a:ext>
          </a:extLst>
        </xdr:cNvPr>
        <xdr:cNvSpPr>
          <a:spLocks noChangeAspect="1" noChangeArrowheads="1"/>
        </xdr:cNvSpPr>
      </xdr:nvSpPr>
      <xdr:spPr bwMode="auto">
        <a:xfrm>
          <a:off x="6686550" y="9524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43</xdr:row>
      <xdr:rowOff>180975</xdr:rowOff>
    </xdr:from>
    <xdr:to>
      <xdr:col>17</xdr:col>
      <xdr:colOff>485775</xdr:colOff>
      <xdr:row>85</xdr:row>
      <xdr:rowOff>57150</xdr:rowOff>
    </xdr:to>
    <xdr:pic>
      <xdr:nvPicPr>
        <xdr:cNvPr id="3" name="Picture 2" descr="Figure 1.5: Average Monthly and Annual Premiums for Covered Workers, by Plan Type and Industry, 202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77225" y="8029575"/>
          <a:ext cx="6648450" cy="787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590550</xdr:colOff>
      <xdr:row>85</xdr:row>
      <xdr:rowOff>142875</xdr:rowOff>
    </xdr:from>
    <xdr:to>
      <xdr:col>17</xdr:col>
      <xdr:colOff>466725</xdr:colOff>
      <xdr:row>112</xdr:row>
      <xdr:rowOff>0</xdr:rowOff>
    </xdr:to>
    <xdr:pic>
      <xdr:nvPicPr>
        <xdr:cNvPr id="4" name="Picture 3" descr="Figure 6.5: Average Annual Worker and Employer Contributions to Premiums and Total Premiums for Family Coverage, 1999-202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96375" y="16383000"/>
          <a:ext cx="6648450" cy="500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1</xdr:row>
      <xdr:rowOff>0</xdr:rowOff>
    </xdr:from>
    <xdr:to>
      <xdr:col>15</xdr:col>
      <xdr:colOff>340100</xdr:colOff>
      <xdr:row>2</xdr:row>
      <xdr:rowOff>100852</xdr:rowOff>
    </xdr:to>
    <xdr:sp macro="" textlink="">
      <xdr:nvSpPr>
        <xdr:cNvPr id="2" name="TextBox 1">
          <a:hlinkClick xmlns:r="http://schemas.openxmlformats.org/officeDocument/2006/relationships" r:id="rId4"/>
          <a:extLst>
            <a:ext uri="{FF2B5EF4-FFF2-40B4-BE49-F238E27FC236}">
              <a16:creationId xmlns:a16="http://schemas.microsoft.com/office/drawing/2014/main" id="{00000000-0008-0000-0200-000002000000}"/>
            </a:ext>
          </a:extLst>
        </xdr:cNvPr>
        <xdr:cNvSpPr txBox="1"/>
      </xdr:nvSpPr>
      <xdr:spPr>
        <a:xfrm>
          <a:off x="12011025" y="190500"/>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twoCellAnchor>
    <xdr:from>
      <xdr:col>8</xdr:col>
      <xdr:colOff>47625</xdr:colOff>
      <xdr:row>8</xdr:row>
      <xdr:rowOff>171450</xdr:rowOff>
    </xdr:from>
    <xdr:to>
      <xdr:col>9</xdr:col>
      <xdr:colOff>2314575</xdr:colOff>
      <xdr:row>10</xdr:row>
      <xdr:rowOff>81802</xdr:rowOff>
    </xdr:to>
    <xdr:sp macro="" textlink="">
      <xdr:nvSpPr>
        <xdr:cNvPr id="5" name="TextBox 4">
          <a:hlinkClick xmlns:r="http://schemas.openxmlformats.org/officeDocument/2006/relationships" r:id="rId5"/>
          <a:extLst>
            <a:ext uri="{FF2B5EF4-FFF2-40B4-BE49-F238E27FC236}">
              <a16:creationId xmlns:a16="http://schemas.microsoft.com/office/drawing/2014/main" id="{00000000-0008-0000-0200-000005000000}"/>
            </a:ext>
          </a:extLst>
        </xdr:cNvPr>
        <xdr:cNvSpPr txBox="1"/>
      </xdr:nvSpPr>
      <xdr:spPr>
        <a:xfrm>
          <a:off x="8877300" y="1714500"/>
          <a:ext cx="2876550" cy="2913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solidFill>
                <a:schemeClr val="accent1">
                  <a:lumMod val="75000"/>
                </a:schemeClr>
              </a:solidFill>
              <a:latin typeface="Aptos" panose="020B0004020202020204" pitchFamily="34" charset="0"/>
            </a:rPr>
            <a:t>Salary Explorer</a:t>
          </a:r>
          <a:r>
            <a:rPr lang="en-US" sz="1100" baseline="0">
              <a:solidFill>
                <a:schemeClr val="accent1">
                  <a:lumMod val="75000"/>
                </a:schemeClr>
              </a:solidFill>
              <a:latin typeface="Aptos" panose="020B0004020202020204" pitchFamily="34" charset="0"/>
            </a:rPr>
            <a:t> USA Factory &amp; Manufacturing</a:t>
          </a:r>
          <a:endParaRPr lang="en-US" sz="1100">
            <a:solidFill>
              <a:schemeClr val="accent1">
                <a:lumMod val="75000"/>
              </a:schemeClr>
            </a:solidFill>
            <a:latin typeface="Aptos" panose="020B0004020202020204" pitchFamily="34" charset="0"/>
          </a:endParaRPr>
        </a:p>
      </xdr:txBody>
    </xdr:sp>
    <xdr:clientData/>
  </xdr:twoCellAnchor>
  <xdr:twoCellAnchor>
    <xdr:from>
      <xdr:col>8</xdr:col>
      <xdr:colOff>47625</xdr:colOff>
      <xdr:row>9</xdr:row>
      <xdr:rowOff>180975</xdr:rowOff>
    </xdr:from>
    <xdr:to>
      <xdr:col>9</xdr:col>
      <xdr:colOff>2314575</xdr:colOff>
      <xdr:row>11</xdr:row>
      <xdr:rowOff>91327</xdr:rowOff>
    </xdr:to>
    <xdr:sp macro="" textlink="">
      <xdr:nvSpPr>
        <xdr:cNvPr id="6" name="TextBox 5">
          <a:hlinkClick xmlns:r="http://schemas.openxmlformats.org/officeDocument/2006/relationships" r:id="rId6"/>
          <a:extLst>
            <a:ext uri="{FF2B5EF4-FFF2-40B4-BE49-F238E27FC236}">
              <a16:creationId xmlns:a16="http://schemas.microsoft.com/office/drawing/2014/main" id="{00000000-0008-0000-0200-000006000000}"/>
            </a:ext>
          </a:extLst>
        </xdr:cNvPr>
        <xdr:cNvSpPr txBox="1"/>
      </xdr:nvSpPr>
      <xdr:spPr>
        <a:xfrm>
          <a:off x="8877300" y="1914525"/>
          <a:ext cx="2876550" cy="2913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solidFill>
                <a:schemeClr val="accent1">
                  <a:lumMod val="75000"/>
                </a:schemeClr>
              </a:solidFill>
              <a:latin typeface="Aptos" panose="020B0004020202020204" pitchFamily="34" charset="0"/>
            </a:rPr>
            <a:t>Salary Explorer</a:t>
          </a:r>
          <a:r>
            <a:rPr lang="en-US" sz="1100" baseline="0">
              <a:solidFill>
                <a:schemeClr val="accent1">
                  <a:lumMod val="75000"/>
                </a:schemeClr>
              </a:solidFill>
              <a:latin typeface="Aptos" panose="020B0004020202020204" pitchFamily="34" charset="0"/>
            </a:rPr>
            <a:t> USA Popular Jobs</a:t>
          </a:r>
          <a:endParaRPr lang="en-US" sz="1100">
            <a:solidFill>
              <a:schemeClr val="accent1">
                <a:lumMod val="75000"/>
              </a:schemeClr>
            </a:solidFill>
            <a:latin typeface="Aptos" panose="020B0004020202020204" pitchFamily="34" charset="0"/>
          </a:endParaRPr>
        </a:p>
      </xdr:txBody>
    </xdr:sp>
    <xdr:clientData/>
  </xdr:twoCellAnchor>
  <xdr:twoCellAnchor>
    <xdr:from>
      <xdr:col>8</xdr:col>
      <xdr:colOff>38100</xdr:colOff>
      <xdr:row>13</xdr:row>
      <xdr:rowOff>9525</xdr:rowOff>
    </xdr:from>
    <xdr:to>
      <xdr:col>9</xdr:col>
      <xdr:colOff>2305050</xdr:colOff>
      <xdr:row>14</xdr:row>
      <xdr:rowOff>110377</xdr:rowOff>
    </xdr:to>
    <xdr:sp macro="" textlink="">
      <xdr:nvSpPr>
        <xdr:cNvPr id="7" name="TextBox 6">
          <a:hlinkClick xmlns:r="http://schemas.openxmlformats.org/officeDocument/2006/relationships" r:id="rId7"/>
          <a:extLst>
            <a:ext uri="{FF2B5EF4-FFF2-40B4-BE49-F238E27FC236}">
              <a16:creationId xmlns:a16="http://schemas.microsoft.com/office/drawing/2014/main" id="{00000000-0008-0000-0200-000007000000}"/>
            </a:ext>
          </a:extLst>
        </xdr:cNvPr>
        <xdr:cNvSpPr txBox="1"/>
      </xdr:nvSpPr>
      <xdr:spPr>
        <a:xfrm>
          <a:off x="8867775" y="2505075"/>
          <a:ext cx="2876550" cy="2913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solidFill>
                <a:schemeClr val="accent1">
                  <a:lumMod val="75000"/>
                </a:schemeClr>
              </a:solidFill>
              <a:latin typeface="Aptos" panose="020B0004020202020204" pitchFamily="34" charset="0"/>
            </a:rPr>
            <a:t>Salary Explorer</a:t>
          </a:r>
          <a:r>
            <a:rPr lang="en-US" sz="1100" baseline="0">
              <a:solidFill>
                <a:schemeClr val="accent1">
                  <a:lumMod val="75000"/>
                </a:schemeClr>
              </a:solidFill>
              <a:latin typeface="Aptos" panose="020B0004020202020204" pitchFamily="34" charset="0"/>
            </a:rPr>
            <a:t> CA Factory &amp; Manufacturing</a:t>
          </a:r>
          <a:endParaRPr lang="en-US" sz="1100">
            <a:solidFill>
              <a:schemeClr val="accent1">
                <a:lumMod val="75000"/>
              </a:schemeClr>
            </a:solidFill>
            <a:latin typeface="Aptos" panose="020B0004020202020204" pitchFamily="34" charset="0"/>
          </a:endParaRPr>
        </a:p>
      </xdr:txBody>
    </xdr:sp>
    <xdr:clientData/>
  </xdr:twoCellAnchor>
  <xdr:twoCellAnchor>
    <xdr:from>
      <xdr:col>8</xdr:col>
      <xdr:colOff>38100</xdr:colOff>
      <xdr:row>14</xdr:row>
      <xdr:rowOff>9525</xdr:rowOff>
    </xdr:from>
    <xdr:to>
      <xdr:col>9</xdr:col>
      <xdr:colOff>2305050</xdr:colOff>
      <xdr:row>15</xdr:row>
      <xdr:rowOff>110377</xdr:rowOff>
    </xdr:to>
    <xdr:sp macro="" textlink="">
      <xdr:nvSpPr>
        <xdr:cNvPr id="8" name="TextBox 7">
          <a:hlinkClick xmlns:r="http://schemas.openxmlformats.org/officeDocument/2006/relationships" r:id="rId8"/>
          <a:extLst>
            <a:ext uri="{FF2B5EF4-FFF2-40B4-BE49-F238E27FC236}">
              <a16:creationId xmlns:a16="http://schemas.microsoft.com/office/drawing/2014/main" id="{00000000-0008-0000-0200-000008000000}"/>
            </a:ext>
          </a:extLst>
        </xdr:cNvPr>
        <xdr:cNvSpPr txBox="1"/>
      </xdr:nvSpPr>
      <xdr:spPr>
        <a:xfrm>
          <a:off x="8867775" y="2695575"/>
          <a:ext cx="2876550" cy="2913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solidFill>
                <a:schemeClr val="accent1">
                  <a:lumMod val="75000"/>
                </a:schemeClr>
              </a:solidFill>
              <a:latin typeface="Aptos" panose="020B0004020202020204" pitchFamily="34" charset="0"/>
            </a:rPr>
            <a:t>Salary Explorer</a:t>
          </a:r>
          <a:r>
            <a:rPr lang="en-US" sz="1100" baseline="0">
              <a:solidFill>
                <a:schemeClr val="accent1">
                  <a:lumMod val="75000"/>
                </a:schemeClr>
              </a:solidFill>
              <a:latin typeface="Aptos" panose="020B0004020202020204" pitchFamily="34" charset="0"/>
            </a:rPr>
            <a:t> CA Popular Jobs</a:t>
          </a:r>
          <a:endParaRPr lang="en-US" sz="1100">
            <a:solidFill>
              <a:schemeClr val="accent1">
                <a:lumMod val="75000"/>
              </a:schemeClr>
            </a:solidFill>
            <a:latin typeface="Aptos" panose="020B0004020202020204" pitchFamily="34" charset="0"/>
          </a:endParaRPr>
        </a:p>
      </xdr:txBody>
    </xdr:sp>
    <xdr:clientData/>
  </xdr:twoCellAnchor>
  <xdr:twoCellAnchor>
    <xdr:from>
      <xdr:col>14</xdr:col>
      <xdr:colOff>104775</xdr:colOff>
      <xdr:row>25</xdr:row>
      <xdr:rowOff>0</xdr:rowOff>
    </xdr:from>
    <xdr:to>
      <xdr:col>17</xdr:col>
      <xdr:colOff>581025</xdr:colOff>
      <xdr:row>26</xdr:row>
      <xdr:rowOff>100852</xdr:rowOff>
    </xdr:to>
    <xdr:sp macro="" textlink="">
      <xdr:nvSpPr>
        <xdr:cNvPr id="9" name="TextBox 8">
          <a:hlinkClick xmlns:r="http://schemas.openxmlformats.org/officeDocument/2006/relationships" r:id="rId9"/>
          <a:extLst>
            <a:ext uri="{FF2B5EF4-FFF2-40B4-BE49-F238E27FC236}">
              <a16:creationId xmlns:a16="http://schemas.microsoft.com/office/drawing/2014/main" id="{00000000-0008-0000-0200-000009000000}"/>
            </a:ext>
          </a:extLst>
        </xdr:cNvPr>
        <xdr:cNvSpPr txBox="1"/>
      </xdr:nvSpPr>
      <xdr:spPr>
        <a:xfrm>
          <a:off x="13877925" y="4800600"/>
          <a:ext cx="2305050" cy="2913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solidFill>
                <a:schemeClr val="accent1">
                  <a:lumMod val="75000"/>
                </a:schemeClr>
              </a:solidFill>
              <a:latin typeface="Aptos" panose="020B0004020202020204" pitchFamily="34" charset="0"/>
            </a:rPr>
            <a:t>Healthcare Insurance Cost Survey</a:t>
          </a:r>
        </a:p>
      </xdr:txBody>
    </xdr:sp>
    <xdr:clientData/>
  </xdr:twoCellAnchor>
  <xdr:twoCellAnchor>
    <xdr:from>
      <xdr:col>14</xdr:col>
      <xdr:colOff>47624</xdr:colOff>
      <xdr:row>35</xdr:row>
      <xdr:rowOff>0</xdr:rowOff>
    </xdr:from>
    <xdr:to>
      <xdr:col>17</xdr:col>
      <xdr:colOff>380999</xdr:colOff>
      <xdr:row>36</xdr:row>
      <xdr:rowOff>100852</xdr:rowOff>
    </xdr:to>
    <xdr:sp macro="" textlink="">
      <xdr:nvSpPr>
        <xdr:cNvPr id="10" name="TextBox 9">
          <a:hlinkClick xmlns:r="http://schemas.openxmlformats.org/officeDocument/2006/relationships" r:id="rId10"/>
          <a:extLst>
            <a:ext uri="{FF2B5EF4-FFF2-40B4-BE49-F238E27FC236}">
              <a16:creationId xmlns:a16="http://schemas.microsoft.com/office/drawing/2014/main" id="{00000000-0008-0000-0200-00000A000000}"/>
            </a:ext>
          </a:extLst>
        </xdr:cNvPr>
        <xdr:cNvSpPr txBox="1"/>
      </xdr:nvSpPr>
      <xdr:spPr>
        <a:xfrm>
          <a:off x="13820774" y="6705600"/>
          <a:ext cx="2162175" cy="2913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solidFill>
                <a:schemeClr val="accent1">
                  <a:lumMod val="75000"/>
                </a:schemeClr>
              </a:solidFill>
              <a:latin typeface="Aptos" panose="020B0004020202020204" pitchFamily="34" charset="0"/>
            </a:rPr>
            <a:t>Business Insurance Cost Survey</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37522</xdr:colOff>
      <xdr:row>0</xdr:row>
      <xdr:rowOff>57149</xdr:rowOff>
    </xdr:from>
    <xdr:to>
      <xdr:col>28</xdr:col>
      <xdr:colOff>504265</xdr:colOff>
      <xdr:row>56</xdr:row>
      <xdr:rowOff>76200</xdr:rowOff>
    </xdr:to>
    <xdr:graphicFrame macro="">
      <xdr:nvGraphicFramePr>
        <xdr:cNvPr id="2" name="Diagram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0</xdr:col>
      <xdr:colOff>364054</xdr:colOff>
      <xdr:row>0</xdr:row>
      <xdr:rowOff>128868</xdr:rowOff>
    </xdr:from>
    <xdr:to>
      <xdr:col>5</xdr:col>
      <xdr:colOff>536604</xdr:colOff>
      <xdr:row>4</xdr:row>
      <xdr:rowOff>62193</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364054" y="128868"/>
          <a:ext cx="3142109" cy="695325"/>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a:solidFill>
                <a:schemeClr val="dk1"/>
              </a:solidFill>
              <a:latin typeface="Aptos" panose="020B0004020202020204" pitchFamily="34" charset="0"/>
              <a:ea typeface="+mn-ea"/>
              <a:cs typeface="+mn-cs"/>
            </a:rPr>
            <a:t>Freedom Motors will continue to hire as investments come in and requires staff to increase production and R&amp;D activities</a:t>
          </a:r>
        </a:p>
      </xdr:txBody>
    </xdr:sp>
    <xdr:clientData/>
  </xdr:twoCellAnchor>
  <xdr:twoCellAnchor>
    <xdr:from>
      <xdr:col>16</xdr:col>
      <xdr:colOff>306103</xdr:colOff>
      <xdr:row>0</xdr:row>
      <xdr:rowOff>161925</xdr:rowOff>
    </xdr:from>
    <xdr:to>
      <xdr:col>21</xdr:col>
      <xdr:colOff>63914</xdr:colOff>
      <xdr:row>2</xdr:row>
      <xdr:rowOff>72277</xdr:rowOff>
    </xdr:to>
    <xdr:sp macro="" textlink="">
      <xdr:nvSpPr>
        <xdr:cNvPr id="5" name="TextBox 4">
          <a:hlinkClick xmlns:r="http://schemas.openxmlformats.org/officeDocument/2006/relationships" r:id="rId6"/>
          <a:extLst>
            <a:ext uri="{FF2B5EF4-FFF2-40B4-BE49-F238E27FC236}">
              <a16:creationId xmlns:a16="http://schemas.microsoft.com/office/drawing/2014/main" id="{00000000-0008-0000-0300-000005000000}"/>
            </a:ext>
          </a:extLst>
        </xdr:cNvPr>
        <xdr:cNvSpPr txBox="1"/>
      </xdr:nvSpPr>
      <xdr:spPr>
        <a:xfrm>
          <a:off x="9808691" y="161925"/>
          <a:ext cx="2727370"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10</xdr:col>
      <xdr:colOff>419924</xdr:colOff>
      <xdr:row>39</xdr:row>
      <xdr:rowOff>181396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609600" y="4972050"/>
          <a:ext cx="5906324" cy="3019846"/>
        </a:xfrm>
        <a:prstGeom prst="rect">
          <a:avLst/>
        </a:prstGeom>
      </xdr:spPr>
    </xdr:pic>
    <xdr:clientData/>
  </xdr:twoCellAnchor>
  <xdr:twoCellAnchor editAs="oneCell">
    <xdr:from>
      <xdr:col>14</xdr:col>
      <xdr:colOff>228600</xdr:colOff>
      <xdr:row>31</xdr:row>
      <xdr:rowOff>85725</xdr:rowOff>
    </xdr:from>
    <xdr:to>
      <xdr:col>22</xdr:col>
      <xdr:colOff>247650</xdr:colOff>
      <xdr:row>47</xdr:row>
      <xdr:rowOff>122743</xdr:rowOff>
    </xdr:to>
    <xdr:pic>
      <xdr:nvPicPr>
        <xdr:cNvPr id="4" name="Picture 3" descr="A picture containing text, screenshot, diagram, parallel&#10;&#10;Description automatically generated">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63000" y="6562725"/>
          <a:ext cx="4895850" cy="3085018"/>
        </a:xfrm>
        <a:prstGeom prst="rect">
          <a:avLst/>
        </a:prstGeom>
      </xdr:spPr>
    </xdr:pic>
    <xdr:clientData/>
  </xdr:twoCellAnchor>
  <xdr:twoCellAnchor editAs="oneCell">
    <xdr:from>
      <xdr:col>15</xdr:col>
      <xdr:colOff>152399</xdr:colOff>
      <xdr:row>57</xdr:row>
      <xdr:rowOff>190499</xdr:rowOff>
    </xdr:from>
    <xdr:to>
      <xdr:col>23</xdr:col>
      <xdr:colOff>447674</xdr:colOff>
      <xdr:row>77</xdr:row>
      <xdr:rowOff>128566</xdr:rowOff>
    </xdr:to>
    <xdr:pic>
      <xdr:nvPicPr>
        <xdr:cNvPr id="5" name="Picture 4" descr="A picture containing text, screenshot, diagram, parallel&#10;&#10;Description automatically generated">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296399" y="11353799"/>
          <a:ext cx="5172075" cy="3862367"/>
        </a:xfrm>
        <a:prstGeom prst="rect">
          <a:avLst/>
        </a:prstGeom>
      </xdr:spPr>
    </xdr:pic>
    <xdr:clientData/>
  </xdr:twoCellAnchor>
  <xdr:twoCellAnchor>
    <xdr:from>
      <xdr:col>16</xdr:col>
      <xdr:colOff>0</xdr:colOff>
      <xdr:row>1</xdr:row>
      <xdr:rowOff>0</xdr:rowOff>
    </xdr:from>
    <xdr:to>
      <xdr:col>20</xdr:col>
      <xdr:colOff>273425</xdr:colOff>
      <xdr:row>1</xdr:row>
      <xdr:rowOff>291352</xdr:rowOff>
    </xdr:to>
    <xdr:sp macro="" textlink="">
      <xdr:nvSpPr>
        <xdr:cNvPr id="2" name="TextBox 1">
          <a:hlinkClick xmlns:r="http://schemas.openxmlformats.org/officeDocument/2006/relationships" r:id="rId4"/>
          <a:extLst>
            <a:ext uri="{FF2B5EF4-FFF2-40B4-BE49-F238E27FC236}">
              <a16:creationId xmlns:a16="http://schemas.microsoft.com/office/drawing/2014/main" id="{00000000-0008-0000-0400-000002000000}"/>
            </a:ext>
          </a:extLst>
        </xdr:cNvPr>
        <xdr:cNvSpPr txBox="1"/>
      </xdr:nvSpPr>
      <xdr:spPr>
        <a:xfrm>
          <a:off x="9753600" y="190500"/>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0</xdr:row>
      <xdr:rowOff>47625</xdr:rowOff>
    </xdr:from>
    <xdr:to>
      <xdr:col>28</xdr:col>
      <xdr:colOff>476250</xdr:colOff>
      <xdr:row>64</xdr:row>
      <xdr:rowOff>133350</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76200" y="47625"/>
          <a:ext cx="17468850" cy="1166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just">
            <a:spcBef>
              <a:spcPts val="0"/>
            </a:spcBef>
            <a:spcAft>
              <a:spcPts val="0"/>
            </a:spcAft>
          </a:pPr>
          <a:r>
            <a:rPr lang="en-US" sz="1400" b="1">
              <a:effectLst/>
              <a:latin typeface="Aptos" panose="020B0004020202020204" pitchFamily="34" charset="0"/>
              <a:ea typeface="Times New Roman" panose="02020603050405020304" pitchFamily="18" charset="0"/>
              <a:cs typeface="Arial" panose="020B0604020202020204" pitchFamily="34" charset="0"/>
            </a:rPr>
            <a:t>COMPETITIVE ADVANTAGES</a:t>
          </a:r>
          <a:endParaRPr lang="en-US" sz="1100">
            <a:effectLst/>
            <a:latin typeface="Aptos" panose="020B0004020202020204" pitchFamily="34" charset="0"/>
            <a:ea typeface="Times New Roman" panose="02020603050405020304" pitchFamily="18" charset="0"/>
            <a:cs typeface="Arial" panose="020B0604020202020204" pitchFamily="34" charset="0"/>
          </a:endParaRPr>
        </a:p>
        <a:p>
          <a:pPr marL="0" marR="0" algn="just">
            <a:spcBef>
              <a:spcPts val="0"/>
            </a:spcBef>
            <a:spcAft>
              <a:spcPts val="0"/>
            </a:spcAft>
          </a:pPr>
          <a:r>
            <a:rPr lang="en-US" sz="1100">
              <a:effectLst/>
              <a:latin typeface="Aptos" panose="020B0004020202020204" pitchFamily="34" charset="0"/>
              <a:ea typeface="Times New Roman" panose="02020603050405020304" pitchFamily="18" charset="0"/>
              <a:cs typeface="Arial" panose="020B0604020202020204" pitchFamily="34" charset="0"/>
            </a:rPr>
            <a:t> </a:t>
          </a:r>
        </a:p>
        <a:p>
          <a:pPr marL="0" marR="0" algn="just">
            <a:spcBef>
              <a:spcPts val="0"/>
            </a:spcBef>
            <a:spcAft>
              <a:spcPts val="0"/>
            </a:spcAft>
          </a:pPr>
          <a:r>
            <a:rPr lang="en-US" sz="1100">
              <a:effectLst/>
              <a:latin typeface="Aptos" panose="020B0004020202020204" pitchFamily="34" charset="0"/>
              <a:ea typeface="Times New Roman" panose="02020603050405020304" pitchFamily="18" charset="0"/>
              <a:cs typeface="Arial" panose="020B0604020202020204" pitchFamily="34" charset="0"/>
            </a:rPr>
            <a:t>The Rotapower® rotary engine combines the attributes of both the two and four-stroke piston engines in a low cost design, solving the problems of fuel consumption and emissions that have limited the use of rotary engines.  Historically, the charged cooled rotor rotary engine had a low cost but unimpressive fuel consumption and emissions (OMC and Fichtel-Sachs approach) or high cost with acceptable fuel consumption and emissions (Curtiss-Wright, John Deere, and RPI approach). Mazda rotary engines operated between these two extremes without a clearly defined set of attributes. The Rotapower® engine has retained the simple low cost approach of the original OMC design and, through patented and proprietary technology, has been able to lower fuel consumption and emissions and extend life by an order of magnitude.</a:t>
          </a:r>
        </a:p>
        <a:p>
          <a:pPr marL="0" marR="0" algn="just">
            <a:spcBef>
              <a:spcPts val="0"/>
            </a:spcBef>
            <a:spcAft>
              <a:spcPts val="0"/>
            </a:spcAft>
          </a:pPr>
          <a:r>
            <a:rPr lang="en-US" sz="1100">
              <a:effectLst/>
              <a:latin typeface="Aptos" panose="020B0004020202020204" pitchFamily="34" charset="0"/>
              <a:ea typeface="Times New Roman" panose="02020603050405020304" pitchFamily="18" charset="0"/>
              <a:cs typeface="Arial" panose="020B0604020202020204" pitchFamily="34" charset="0"/>
            </a:rPr>
            <a:t> </a:t>
          </a:r>
        </a:p>
        <a:p>
          <a:pPr marL="0" marR="0" algn="just">
            <a:spcBef>
              <a:spcPts val="0"/>
            </a:spcBef>
            <a:spcAft>
              <a:spcPts val="0"/>
            </a:spcAft>
          </a:pPr>
          <a:r>
            <a:rPr lang="en-US" sz="1100">
              <a:effectLst/>
              <a:latin typeface="Aptos" panose="020B0004020202020204" pitchFamily="34" charset="0"/>
              <a:ea typeface="Times New Roman" panose="02020603050405020304" pitchFamily="18" charset="0"/>
              <a:cs typeface="Arial" panose="020B0604020202020204" pitchFamily="34" charset="0"/>
            </a:rPr>
            <a:t>In the automotive market, previous rotary engines (Mazda and NSU) have had somewhat poorer fuel consumption than four-stroke piston competitors. Despite their lower weight, emissions, and cost, this limitation caused the automotive companies to be unwilling to re-tool their engine and chassis plants to use these engines. In addition, the existing emissions from recreational and small commercial engines were not a major concern. The following developments now make the Rotapower® engine a highly competitive alternative powerplant.</a:t>
          </a:r>
        </a:p>
        <a:p>
          <a:pPr marL="0" marR="0" algn="just">
            <a:spcBef>
              <a:spcPts val="0"/>
            </a:spcBef>
            <a:spcAft>
              <a:spcPts val="0"/>
            </a:spcAft>
          </a:pPr>
          <a:r>
            <a:rPr lang="en-US" sz="1100">
              <a:effectLst/>
              <a:latin typeface="Aptos" panose="020B0004020202020204" pitchFamily="34" charset="0"/>
              <a:ea typeface="Times New Roman" panose="02020603050405020304" pitchFamily="18" charset="0"/>
              <a:cs typeface="Arial" panose="020B0604020202020204" pitchFamily="34" charset="0"/>
            </a:rPr>
            <a:t> </a:t>
          </a:r>
        </a:p>
        <a:p>
          <a:pPr marL="0" marR="0" algn="just">
            <a:spcBef>
              <a:spcPts val="0"/>
            </a:spcBef>
            <a:spcAft>
              <a:spcPts val="0"/>
            </a:spcAft>
          </a:pPr>
          <a:r>
            <a:rPr lang="en-US" sz="1100">
              <a:effectLst/>
              <a:latin typeface="Aptos" panose="020B0004020202020204" pitchFamily="34" charset="0"/>
              <a:ea typeface="Times New Roman" panose="02020603050405020304" pitchFamily="18" charset="0"/>
              <a:cs typeface="Arial" panose="020B0604020202020204" pitchFamily="34" charset="0"/>
            </a:rPr>
            <a:t>•   The Company’s patented rotor cooling and porting arrangement has reduced both emissions and fuel consumption while also lengthening engine life by lowering thermal stresses within the engine. This technology together with lower internal energy losses by using roller bearings and</a:t>
          </a:r>
        </a:p>
        <a:p>
          <a:pPr marL="0" marR="0" algn="just">
            <a:spcBef>
              <a:spcPts val="0"/>
            </a:spcBef>
            <a:spcAft>
              <a:spcPts val="0"/>
            </a:spcAft>
          </a:pPr>
          <a:r>
            <a:rPr lang="en-US" sz="1100">
              <a:effectLst/>
              <a:latin typeface="Aptos" panose="020B0004020202020204" pitchFamily="34" charset="0"/>
              <a:ea typeface="Times New Roman" panose="02020603050405020304" pitchFamily="18" charset="0"/>
              <a:cs typeface="Arial" panose="020B0604020202020204" pitchFamily="34" charset="0"/>
            </a:rPr>
            <a:t>      charge rotor cooling has made the Rotapower® engine’s fuel consumption competitive with the four-stroke piston engine.</a:t>
          </a:r>
        </a:p>
        <a:p>
          <a:pPr marL="0" marR="0" algn="just">
            <a:spcBef>
              <a:spcPts val="0"/>
            </a:spcBef>
            <a:spcAft>
              <a:spcPts val="0"/>
            </a:spcAft>
          </a:pPr>
          <a:r>
            <a:rPr lang="en-US" sz="1100">
              <a:effectLst/>
              <a:latin typeface="Aptos" panose="020B0004020202020204" pitchFamily="34" charset="0"/>
              <a:ea typeface="Times New Roman" panose="02020603050405020304" pitchFamily="18" charset="0"/>
              <a:cs typeface="Arial" panose="020B0604020202020204" pitchFamily="34" charset="0"/>
            </a:rPr>
            <a:t>•    Pollution is now becoming such a dominant issue that two-stroke engines are disappearing completely worldwide while four-stroke piston engines must significantly reduce their exhaust emissions.</a:t>
          </a:r>
        </a:p>
        <a:p>
          <a:pPr marL="0" marR="0" algn="just">
            <a:spcBef>
              <a:spcPts val="0"/>
            </a:spcBef>
            <a:spcAft>
              <a:spcPts val="0"/>
            </a:spcAft>
          </a:pPr>
          <a:r>
            <a:rPr lang="en-US" sz="1100">
              <a:effectLst/>
              <a:latin typeface="Aptos" panose="020B0004020202020204" pitchFamily="34" charset="0"/>
              <a:ea typeface="Times New Roman" panose="02020603050405020304" pitchFamily="18" charset="0"/>
              <a:cs typeface="Arial" panose="020B0604020202020204" pitchFamily="34" charset="0"/>
            </a:rPr>
            <a:t>•    The low levels of CO, HC, and low NOx emissions from the Rotapower® engine makes it possible to require minimum after treatment of the exhaust.</a:t>
          </a:r>
        </a:p>
        <a:p>
          <a:endParaRPr lang="en-US" sz="1100">
            <a:latin typeface="Aptos" panose="020B0004020202020204" pitchFamily="34" charset="0"/>
          </a:endParaRPr>
        </a:p>
        <a:p>
          <a:pPr marL="0" marR="0" algn="just">
            <a:spcBef>
              <a:spcPts val="0"/>
            </a:spcBef>
            <a:spcAft>
              <a:spcPts val="0"/>
            </a:spcAft>
          </a:pPr>
          <a:r>
            <a:rPr lang="en-US" sz="1400" b="1">
              <a:solidFill>
                <a:schemeClr val="dk1"/>
              </a:solidFill>
              <a:effectLst/>
              <a:latin typeface="Aptos" panose="020B0004020202020204" pitchFamily="34" charset="0"/>
              <a:ea typeface="Times New Roman" panose="02020603050405020304" pitchFamily="18" charset="0"/>
              <a:cs typeface="Arial" panose="020B0604020202020204" pitchFamily="34" charset="0"/>
            </a:rPr>
            <a:t>COMPARISON WITH A TWO-STROKE ENGINE</a:t>
          </a:r>
        </a:p>
        <a:p>
          <a:pPr marL="0" marR="0" algn="just">
            <a:spcBef>
              <a:spcPts val="0"/>
            </a:spcBef>
            <a:spcAft>
              <a:spcPts val="0"/>
            </a:spcAft>
          </a:pPr>
          <a:r>
            <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rPr>
            <a:t> </a:t>
          </a:r>
        </a:p>
        <a:p>
          <a:pPr marL="0" marR="0" algn="just">
            <a:spcBef>
              <a:spcPts val="0"/>
            </a:spcBef>
            <a:spcAft>
              <a:spcPts val="0"/>
            </a:spcAft>
          </a:pPr>
          <a:r>
            <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rPr>
            <a:t>Recent advances have potentially improved the fuel consumption and emissions characteristics of two-stroke engines by utilizing a sophisticated fuel injection system. Those systems are expensive, offsetting the cost advantage the two-stroke has historically enjoyed (estimated by CARB responses to add at least 35% to engine cost).  The two-stroke will remain handicapped by high vibration, high fuel consumption, noise, and emissions. The only Wankel rotary type engine of a similar design to the Rotapower® engine that was put into volume production, was the OMC rotary. A major design goal in the OMC development was to be cost-competitive with the two-stroke engine it was designed to replace. OMC achieved this goal with their rotary engine which proved to be far more reliable than the two-stroke engine it replaced.</a:t>
          </a:r>
        </a:p>
        <a:p>
          <a:pPr marL="0" marR="0" algn="just">
            <a:spcBef>
              <a:spcPts val="0"/>
            </a:spcBef>
            <a:spcAft>
              <a:spcPts val="0"/>
            </a:spcAft>
          </a:pPr>
          <a:r>
            <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rPr>
            <a:t> </a:t>
          </a:r>
        </a:p>
        <a:p>
          <a:pPr marL="0" marR="0" algn="just">
            <a:spcBef>
              <a:spcPts val="0"/>
            </a:spcBef>
            <a:spcAft>
              <a:spcPts val="0"/>
            </a:spcAft>
          </a:pPr>
          <a:r>
            <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rPr>
            <a:t>The Rotapower® engine equivalent of a two-stroke engine:</a:t>
          </a:r>
        </a:p>
        <a:p>
          <a:pPr marL="0" marR="0" algn="just">
            <a:spcBef>
              <a:spcPts val="0"/>
            </a:spcBef>
            <a:spcAft>
              <a:spcPts val="0"/>
            </a:spcAft>
          </a:pPr>
          <a:r>
            <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rPr>
            <a:t> </a:t>
          </a:r>
        </a:p>
        <a:p>
          <a:pPr marL="0" marR="0" algn="just">
            <a:spcBef>
              <a:spcPts val="0"/>
            </a:spcBef>
            <a:spcAft>
              <a:spcPts val="0"/>
            </a:spcAft>
          </a:pPr>
          <a:r>
            <a:rPr lang="en-US" sz="1100">
              <a:solidFill>
                <a:schemeClr val="dk1"/>
              </a:solidFill>
              <a:effectLst/>
              <a:latin typeface="+mn-lt"/>
              <a:ea typeface="+mn-ea"/>
              <a:cs typeface="+mn-cs"/>
            </a:rPr>
            <a:t>•   </a:t>
          </a:r>
          <a:r>
            <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rPr>
            <a:t>Produces more power for a given weight and size: </a:t>
          </a:r>
        </a:p>
        <a:p>
          <a:pPr marL="0" marR="0" algn="just">
            <a:spcBef>
              <a:spcPts val="0"/>
            </a:spcBef>
            <a:spcAft>
              <a:spcPts val="0"/>
            </a:spcAft>
          </a:pPr>
          <a:r>
            <a:rPr lang="en-US" sz="1100">
              <a:solidFill>
                <a:schemeClr val="dk1"/>
              </a:solidFill>
              <a:effectLst/>
              <a:latin typeface="+mn-lt"/>
              <a:ea typeface="+mn-ea"/>
              <a:cs typeface="+mn-cs"/>
            </a:rPr>
            <a:t>•   </a:t>
          </a:r>
          <a:r>
            <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rPr>
            <a:t>Two-stroke engines are capable of producing approximately one horsepower per pound of engine weight while the Rotapower® engine has produced over two horsepower per pound of engine weight.</a:t>
          </a:r>
        </a:p>
        <a:p>
          <a:pPr marL="0" marR="0" algn="just">
            <a:spcBef>
              <a:spcPts val="0"/>
            </a:spcBef>
            <a:spcAft>
              <a:spcPts val="0"/>
            </a:spcAft>
          </a:pPr>
          <a:r>
            <a:rPr lang="en-US" sz="1100">
              <a:solidFill>
                <a:schemeClr val="dk1"/>
              </a:solidFill>
              <a:effectLst/>
              <a:latin typeface="+mn-lt"/>
              <a:ea typeface="+mn-ea"/>
              <a:cs typeface="+mn-cs"/>
            </a:rPr>
            <a:t>•   </a:t>
          </a:r>
          <a:r>
            <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rPr>
            <a:t>Produces much lower emissions:</a:t>
          </a:r>
        </a:p>
        <a:p>
          <a:pPr marL="0" marR="0" algn="just">
            <a:spcBef>
              <a:spcPts val="0"/>
            </a:spcBef>
            <a:spcAft>
              <a:spcPts val="0"/>
            </a:spcAft>
          </a:pPr>
          <a:r>
            <a:rPr lang="en-US" sz="1100">
              <a:solidFill>
                <a:schemeClr val="dk1"/>
              </a:solidFill>
              <a:effectLst/>
              <a:latin typeface="+mn-lt"/>
              <a:ea typeface="+mn-ea"/>
              <a:cs typeface="+mn-cs"/>
            </a:rPr>
            <a:t>•   </a:t>
          </a:r>
          <a:r>
            <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rPr>
            <a:t>In recent tests observed by CARB, the Rotapower® engine produced 3 g/hp-hr of combined HC and NOx emissions. This compares with over 300 g/hp-hr for carbureted two-stroke engines and 40 g/hp-hr for direct injected two-strokes. While the Rotapower produced negligible amounts</a:t>
          </a:r>
        </a:p>
        <a:p>
          <a:pPr marL="0" marR="0" algn="just">
            <a:spcBef>
              <a:spcPts val="0"/>
            </a:spcBef>
            <a:spcAft>
              <a:spcPts val="0"/>
            </a:spcAft>
          </a:pPr>
          <a:r>
            <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rPr>
            <a:t>      of particulates, the direct injected two-stroke produced large quantities of carcinogenic particulates. Measured CO emissions from the Rotapower engine were .07% of those from the two-stroke engine.</a:t>
          </a:r>
        </a:p>
        <a:p>
          <a:pPr marL="0" marR="0" algn="just">
            <a:spcBef>
              <a:spcPts val="0"/>
            </a:spcBef>
            <a:spcAft>
              <a:spcPts val="0"/>
            </a:spcAft>
          </a:pPr>
          <a:r>
            <a:rPr lang="en-US" sz="1100">
              <a:solidFill>
                <a:schemeClr val="dk1"/>
              </a:solidFill>
              <a:effectLst/>
              <a:latin typeface="+mn-lt"/>
              <a:ea typeface="+mn-ea"/>
              <a:cs typeface="+mn-cs"/>
            </a:rPr>
            <a:t>•   </a:t>
          </a:r>
          <a:r>
            <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rPr>
            <a:t>Is free from vibration: The Rotapower® engine has only rotary motion (like the turbine engine) and, with perfect balance, is free from vibration.</a:t>
          </a:r>
        </a:p>
        <a:p>
          <a:pPr marL="0" marR="0" algn="just">
            <a:spcBef>
              <a:spcPts val="0"/>
            </a:spcBef>
            <a:spcAft>
              <a:spcPts val="0"/>
            </a:spcAft>
          </a:pPr>
          <a:r>
            <a:rPr lang="en-US" sz="1100">
              <a:solidFill>
                <a:schemeClr val="dk1"/>
              </a:solidFill>
              <a:effectLst/>
              <a:latin typeface="+mn-lt"/>
              <a:ea typeface="+mn-ea"/>
              <a:cs typeface="+mn-cs"/>
            </a:rPr>
            <a:t>•   </a:t>
          </a:r>
          <a:r>
            <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rPr>
            <a:t>Has better fuel economy:</a:t>
          </a:r>
          <a:r>
            <a:rPr lang="en-US" sz="1100" baseline="0">
              <a:solidFill>
                <a:schemeClr val="dk1"/>
              </a:solidFill>
              <a:effectLst/>
              <a:latin typeface="Aptos" panose="020B0004020202020204" pitchFamily="34" charset="0"/>
              <a:ea typeface="Times New Roman" panose="02020603050405020304" pitchFamily="18" charset="0"/>
              <a:cs typeface="Arial" panose="020B0604020202020204" pitchFamily="34" charset="0"/>
            </a:rPr>
            <a:t> </a:t>
          </a:r>
          <a:r>
            <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rPr>
            <a:t>The best commercial two-stroke engines achieve a specific fuel consumption of .6 lb/hp-hr. Tests to date have shown the Rotapower® engine using less than .43 lbs./hp-hr. </a:t>
          </a:r>
        </a:p>
        <a:p>
          <a:pPr marL="0" marR="0" algn="just">
            <a:spcBef>
              <a:spcPts val="0"/>
            </a:spcBef>
            <a:spcAft>
              <a:spcPts val="0"/>
            </a:spcAft>
          </a:pPr>
          <a:r>
            <a:rPr lang="en-US" sz="1100">
              <a:solidFill>
                <a:schemeClr val="dk1"/>
              </a:solidFill>
              <a:effectLst/>
              <a:latin typeface="+mn-lt"/>
              <a:ea typeface="+mn-ea"/>
              <a:cs typeface="+mn-cs"/>
            </a:rPr>
            <a:t>•   </a:t>
          </a:r>
          <a:r>
            <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rPr>
            <a:t>Is quieter: Two-stroke engines cannot tolerate much exhaust back-pressure, hence muffling these engines is difficult without a very large muffler. The Rotapower® engine uses the four-stroke cycle, which is more tolerant of exhaust back-pressure.</a:t>
          </a:r>
        </a:p>
        <a:p>
          <a:pPr marL="0" marR="0" algn="just">
            <a:spcBef>
              <a:spcPts val="0"/>
            </a:spcBef>
            <a:spcAft>
              <a:spcPts val="0"/>
            </a:spcAft>
          </a:pPr>
          <a:r>
            <a:rPr lang="en-US" sz="1100">
              <a:solidFill>
                <a:schemeClr val="dk1"/>
              </a:solidFill>
              <a:effectLst/>
              <a:latin typeface="+mn-lt"/>
              <a:ea typeface="+mn-ea"/>
              <a:cs typeface="+mn-cs"/>
            </a:rPr>
            <a:t>•   </a:t>
          </a:r>
          <a:r>
            <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rPr>
            <a:t>Is more reliable: Two-stroke engines use roller bearings, as does the Rotapower® engine. However, in the two-stroke engine very large reversing stresses are induced as a result of the reciprocating motion. Roller bearings do not tolerate reversing motion and the associated stress well. </a:t>
          </a:r>
        </a:p>
        <a:p>
          <a:pPr marL="0" marR="0" algn="just">
            <a:spcBef>
              <a:spcPts val="0"/>
            </a:spcBef>
            <a:spcAft>
              <a:spcPts val="0"/>
            </a:spcAft>
          </a:pPr>
          <a:endPar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endParaRPr>
        </a:p>
        <a:p>
          <a:pPr marL="0" marR="0" indent="0" algn="just">
            <a:spcBef>
              <a:spcPts val="0"/>
            </a:spcBef>
            <a:spcAft>
              <a:spcPts val="0"/>
            </a:spcAft>
          </a:pPr>
          <a:r>
            <a:rPr lang="en-US" sz="1400" b="1">
              <a:solidFill>
                <a:schemeClr val="dk1"/>
              </a:solidFill>
              <a:effectLst/>
              <a:latin typeface="Aptos" panose="020B0004020202020204" pitchFamily="34" charset="0"/>
              <a:ea typeface="Times New Roman" panose="02020603050405020304" pitchFamily="18" charset="0"/>
              <a:cs typeface="Arial" panose="020B0604020202020204" pitchFamily="34" charset="0"/>
            </a:rPr>
            <a:t>COMPARISON WITH A FOUR-STROKE PISTON ENGINE</a:t>
          </a:r>
        </a:p>
        <a:p>
          <a:pPr marL="0" marR="0" algn="just">
            <a:spcBef>
              <a:spcPts val="0"/>
            </a:spcBef>
            <a:spcAft>
              <a:spcPts val="0"/>
            </a:spcAft>
          </a:pPr>
          <a:r>
            <a:rPr lang="en-US" sz="1100">
              <a:effectLst/>
              <a:latin typeface="Segoe UI" panose="020B0502040204020203" pitchFamily="34" charset="0"/>
              <a:ea typeface="Times New Roman" panose="02020603050405020304" pitchFamily="18" charset="0"/>
              <a:cs typeface="Arial" panose="020B0604020202020204" pitchFamily="34" charset="0"/>
            </a:rPr>
            <a:t> </a:t>
          </a:r>
          <a:endParaRPr lang="en-US" sz="1200">
            <a:effectLst/>
            <a:latin typeface="Times New Roman" panose="02020603050405020304" pitchFamily="18" charset="0"/>
            <a:ea typeface="Times New Roman" panose="02020603050405020304" pitchFamily="18" charset="0"/>
            <a:cs typeface="Arial" panose="020B0604020202020204" pitchFamily="34" charset="0"/>
          </a:endParaRPr>
        </a:p>
        <a:p>
          <a:pPr marL="0" marR="0" indent="0" algn="just">
            <a:spcBef>
              <a:spcPts val="0"/>
            </a:spcBef>
            <a:spcAft>
              <a:spcPts val="0"/>
            </a:spcAft>
          </a:pPr>
          <a:r>
            <a:rPr lang="en-US" sz="1100">
              <a:solidFill>
                <a:schemeClr val="dk1"/>
              </a:solidFill>
              <a:effectLst/>
              <a:latin typeface="+mn-lt"/>
              <a:ea typeface="+mn-ea"/>
              <a:cs typeface="+mn-cs"/>
            </a:rPr>
            <a:t>There has been little innovation in this category in the last 30 years. The only trend is a gradual switch from gasoline to diesel engines. Existing gasoline commercial engines are heavy relative to the power they generate. These engines are also rated for relatively low speeds. The most efficient way to gain power-to-weight advantage is by operating at higher speeds, but those conditions cause vibration and durability problems for reciprocating engines since balancing is very difficult, especially if they have four or fewer cylinders.</a:t>
          </a:r>
        </a:p>
        <a:p>
          <a:pPr marL="0" marR="0" indent="0" algn="just">
            <a:spcBef>
              <a:spcPts val="0"/>
            </a:spcBef>
            <a:spcAft>
              <a:spcPts val="0"/>
            </a:spcAft>
          </a:pPr>
          <a:r>
            <a:rPr lang="en-US" sz="1100">
              <a:solidFill>
                <a:schemeClr val="dk1"/>
              </a:solidFill>
              <a:effectLst/>
              <a:latin typeface="+mn-lt"/>
              <a:ea typeface="+mn-ea"/>
              <a:cs typeface="+mn-cs"/>
            </a:rPr>
            <a:t>The Rotapower® engine is uninhibited by valves, has no reciprocating parts, and its rotor rotates at one-third of the output shaft RPM, so it thrives on higher speeds without sacrificing durability or smoothness. It is therefore particularly effective in applications where portability or compact size is important.</a:t>
          </a:r>
        </a:p>
        <a:p>
          <a:pPr marL="0" marR="0" indent="0" algn="just">
            <a:spcBef>
              <a:spcPts val="0"/>
            </a:spcBef>
            <a:spcAft>
              <a:spcPts val="0"/>
            </a:spcAft>
          </a:pPr>
          <a:r>
            <a:rPr lang="en-US" sz="1100">
              <a:solidFill>
                <a:schemeClr val="dk1"/>
              </a:solidFill>
              <a:effectLst/>
              <a:latin typeface="+mn-lt"/>
              <a:ea typeface="+mn-ea"/>
              <a:cs typeface="+mn-cs"/>
            </a:rPr>
            <a:t> </a:t>
          </a:r>
        </a:p>
        <a:p>
          <a:pPr marL="0" marR="0" indent="0" algn="just">
            <a:spcBef>
              <a:spcPts val="0"/>
            </a:spcBef>
            <a:spcAft>
              <a:spcPts val="0"/>
            </a:spcAft>
          </a:pPr>
          <a:r>
            <a:rPr lang="en-US" sz="1100">
              <a:solidFill>
                <a:schemeClr val="dk1"/>
              </a:solidFill>
              <a:effectLst/>
              <a:latin typeface="+mn-lt"/>
              <a:ea typeface="+mn-ea"/>
              <a:cs typeface="+mn-cs"/>
            </a:rPr>
            <a:t>The Rotapower® engine equivalent of a four-stroke piston engine:</a:t>
          </a:r>
        </a:p>
        <a:p>
          <a:pPr marL="0" marR="0" indent="0" algn="just">
            <a:spcBef>
              <a:spcPts val="0"/>
            </a:spcBef>
            <a:spcAft>
              <a:spcPts val="0"/>
            </a:spcAft>
          </a:pPr>
          <a:r>
            <a:rPr lang="en-US" sz="1100">
              <a:solidFill>
                <a:schemeClr val="dk1"/>
              </a:solidFill>
              <a:effectLst/>
              <a:latin typeface="+mn-lt"/>
              <a:ea typeface="+mn-ea"/>
              <a:cs typeface="+mn-cs"/>
            </a:rPr>
            <a:t> </a:t>
          </a:r>
        </a:p>
        <a:p>
          <a:endParaRPr lang="en-US">
            <a:effectLst/>
          </a:endParaRPr>
        </a:p>
        <a:p>
          <a:r>
            <a:rPr lang="en-US" sz="1100">
              <a:solidFill>
                <a:schemeClr val="dk1"/>
              </a:solidFill>
              <a:effectLst/>
              <a:latin typeface="+mn-lt"/>
              <a:ea typeface="+mn-ea"/>
              <a:cs typeface="+mn-cs"/>
            </a:rPr>
            <a:t>•   Produces much more power for a given weight and size: Very few four-stroke piston engines can produce more than one-half horsepower per pound versus over two horsepower per pound of engine weight for the Rotapower® engine.</a:t>
          </a:r>
        </a:p>
        <a:p>
          <a:r>
            <a:rPr lang="en-US" sz="1100">
              <a:solidFill>
                <a:schemeClr val="dk1"/>
              </a:solidFill>
              <a:effectLst/>
              <a:latin typeface="+mn-lt"/>
              <a:ea typeface="+mn-ea"/>
              <a:cs typeface="+mn-cs"/>
            </a:rPr>
            <a:t>•   Produces lower emissions: Under contract from CARB, Southwest Research Institute tested emissions produced by small four-stroke piston engines. These results were compared with emissions from the Rotapower® engine as observed by CARB and the Institute of Transportation Studies (ITS) in</a:t>
          </a:r>
        </a:p>
        <a:p>
          <a:r>
            <a:rPr lang="en-US" sz="1100">
              <a:solidFill>
                <a:schemeClr val="dk1"/>
              </a:solidFill>
              <a:effectLst/>
              <a:latin typeface="+mn-lt"/>
              <a:ea typeface="+mn-ea"/>
              <a:cs typeface="+mn-cs"/>
            </a:rPr>
            <a:t>     University of California, Davis. In this comparison the Rotapower engine produced .6% as much HC, .08% as much CO, and 9.7% as much NOx as the small four-stroke piston engines tested by SRI.</a:t>
          </a:r>
        </a:p>
        <a:p>
          <a:r>
            <a:rPr lang="en-US" sz="1100">
              <a:solidFill>
                <a:schemeClr val="dk1"/>
              </a:solidFill>
              <a:effectLst/>
              <a:latin typeface="+mn-lt"/>
              <a:ea typeface="+mn-ea"/>
              <a:cs typeface="+mn-cs"/>
            </a:rPr>
            <a:t>•   Is cheaper to produce: Four stroke piston engines cost 25 to 30% more than simple two-stroke engines. OMC produced their four-stroke rotary engine, on which the Rotapower® engine is based, for the same cost as their two-stroke engines. OMC stated that, had they produced their rotary engine in</a:t>
          </a:r>
        </a:p>
        <a:p>
          <a:r>
            <a:rPr lang="en-US" sz="1100">
              <a:solidFill>
                <a:schemeClr val="dk1"/>
              </a:solidFill>
              <a:effectLst/>
              <a:latin typeface="+mn-lt"/>
              <a:ea typeface="+mn-ea"/>
              <a:cs typeface="+mn-cs"/>
            </a:rPr>
            <a:t>     similar volumes to their two-stroke engines, the cost would have been even lower.</a:t>
          </a:r>
        </a:p>
        <a:p>
          <a:r>
            <a:rPr lang="en-US" sz="1100">
              <a:solidFill>
                <a:schemeClr val="dk1"/>
              </a:solidFill>
              <a:effectLst/>
              <a:latin typeface="+mn-lt"/>
              <a:ea typeface="+mn-ea"/>
              <a:cs typeface="+mn-cs"/>
            </a:rPr>
            <a:t>•   Is free from vibration: The Rotapower® engine has pure rotary motion and therefore free of vibration.</a:t>
          </a:r>
        </a:p>
        <a:p>
          <a:r>
            <a:rPr lang="en-US" sz="1100">
              <a:solidFill>
                <a:schemeClr val="dk1"/>
              </a:solidFill>
              <a:effectLst/>
              <a:latin typeface="+mn-lt"/>
              <a:ea typeface="+mn-ea"/>
              <a:cs typeface="+mn-cs"/>
            </a:rPr>
            <a:t>•   Has similar or better fuel consumption: In order to preserve the exhaust valve life, small four-stroke piston engines use a rich fuel-air mixture running typically at close to .6 lb/hp-hr. The Rotapower® engine's freedom from valves allows it to run well at very lean mixtures, which in addition to lower fuel</a:t>
          </a:r>
        </a:p>
        <a:p>
          <a:r>
            <a:rPr lang="en-US" sz="1100">
              <a:solidFill>
                <a:schemeClr val="dk1"/>
              </a:solidFill>
              <a:effectLst/>
              <a:latin typeface="+mn-lt"/>
              <a:ea typeface="+mn-ea"/>
              <a:cs typeface="+mn-cs"/>
            </a:rPr>
            <a:t>     consumption, also helps lower emissions. </a:t>
          </a:r>
        </a:p>
        <a:p>
          <a:r>
            <a:rPr lang="en-US" sz="1100">
              <a:solidFill>
                <a:schemeClr val="dk1"/>
              </a:solidFill>
              <a:effectLst/>
              <a:latin typeface="+mn-lt"/>
              <a:ea typeface="+mn-ea"/>
              <a:cs typeface="+mn-cs"/>
            </a:rPr>
            <a:t>•   Is more reliable: With only a very small percentage of the moving parts of a four-stroke piston engine and only rotary motion, the Rotapower® engine is inherently more reliable. Wankel rotary engines produced in the late 1960's by Ingersoll-Rand have accumulated over 34,000 working hours without</a:t>
          </a:r>
        </a:p>
        <a:p>
          <a:r>
            <a:rPr lang="en-US" sz="1100">
              <a:solidFill>
                <a:schemeClr val="dk1"/>
              </a:solidFill>
              <a:effectLst/>
              <a:latin typeface="+mn-lt"/>
              <a:ea typeface="+mn-ea"/>
              <a:cs typeface="+mn-cs"/>
            </a:rPr>
            <a:t>     an overhaul. Many OMC rotary engines operated for well over 2000 hours without an overhaul. The Rotapower® engine uses higher quality seals and bearings than the OMC engine and has been able to demonstrate a seal life of over 10,000 hours.</a:t>
          </a:r>
        </a:p>
        <a:p>
          <a:pPr marL="0" marR="0" algn="just">
            <a:spcBef>
              <a:spcPts val="0"/>
            </a:spcBef>
            <a:spcAft>
              <a:spcPts val="0"/>
            </a:spcAft>
          </a:pPr>
          <a:endParaRPr lang="en-US" sz="1100">
            <a:solidFill>
              <a:schemeClr val="dk1"/>
            </a:solidFill>
            <a:effectLst/>
            <a:latin typeface="Aptos" panose="020B0004020202020204" pitchFamily="34" charset="0"/>
            <a:ea typeface="Times New Roman" panose="02020603050405020304" pitchFamily="18" charset="0"/>
            <a:cs typeface="Arial" panose="020B0604020202020204" pitchFamily="34" charset="0"/>
          </a:endParaRPr>
        </a:p>
      </xdr:txBody>
    </xdr:sp>
    <xdr:clientData/>
  </xdr:twoCellAnchor>
  <xdr:twoCellAnchor>
    <xdr:from>
      <xdr:col>12</xdr:col>
      <xdr:colOff>228600</xdr:colOff>
      <xdr:row>0</xdr:row>
      <xdr:rowOff>76200</xdr:rowOff>
    </xdr:from>
    <xdr:to>
      <xdr:col>16</xdr:col>
      <xdr:colOff>502025</xdr:colOff>
      <xdr:row>2</xdr:row>
      <xdr:rowOff>5602</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500-000002000000}"/>
            </a:ext>
          </a:extLst>
        </xdr:cNvPr>
        <xdr:cNvSpPr txBox="1"/>
      </xdr:nvSpPr>
      <xdr:spPr>
        <a:xfrm>
          <a:off x="7543800" y="76200"/>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447675</xdr:colOff>
      <xdr:row>7</xdr:row>
      <xdr:rowOff>47624</xdr:rowOff>
    </xdr:from>
    <xdr:to>
      <xdr:col>6</xdr:col>
      <xdr:colOff>247650</xdr:colOff>
      <xdr:row>8</xdr:row>
      <xdr:rowOff>123825</xdr:rowOff>
    </xdr:to>
    <xdr:sp macro="" textlink="">
      <xdr:nvSpPr>
        <xdr:cNvPr id="7" name="TextBox 6">
          <a:hlinkClick xmlns:r="http://schemas.openxmlformats.org/officeDocument/2006/relationships" r:id="rId1"/>
          <a:extLst>
            <a:ext uri="{FF2B5EF4-FFF2-40B4-BE49-F238E27FC236}">
              <a16:creationId xmlns:a16="http://schemas.microsoft.com/office/drawing/2014/main" id="{00000000-0008-0000-0600-000007000000}"/>
            </a:ext>
          </a:extLst>
        </xdr:cNvPr>
        <xdr:cNvSpPr txBox="1"/>
      </xdr:nvSpPr>
      <xdr:spPr>
        <a:xfrm>
          <a:off x="2276475" y="1428749"/>
          <a:ext cx="162877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t>
          </a:r>
          <a:r>
            <a:rPr lang="en-US" sz="1100">
              <a:solidFill>
                <a:srgbClr val="0070C0"/>
              </a:solidFill>
              <a:latin typeface="Aptos" panose="020B0004020202020204" pitchFamily="34" charset="0"/>
            </a:rPr>
            <a:t>Morgan Stanley Study</a:t>
          </a:r>
          <a:r>
            <a:rPr lang="en-US" sz="1100">
              <a:solidFill>
                <a:sysClr val="windowText" lastClr="000000"/>
              </a:solidFill>
              <a:latin typeface="Aptos" panose="020B0004020202020204" pitchFamily="34" charset="0"/>
            </a:rPr>
            <a:t>],</a:t>
          </a:r>
        </a:p>
      </xdr:txBody>
    </xdr:sp>
    <xdr:clientData/>
  </xdr:twoCellAnchor>
  <xdr:twoCellAnchor editAs="oneCell">
    <xdr:from>
      <xdr:col>1</xdr:col>
      <xdr:colOff>0</xdr:colOff>
      <xdr:row>62</xdr:row>
      <xdr:rowOff>0</xdr:rowOff>
    </xdr:from>
    <xdr:to>
      <xdr:col>11</xdr:col>
      <xdr:colOff>177165</xdr:colOff>
      <xdr:row>80</xdr:row>
      <xdr:rowOff>99695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952500"/>
          <a:ext cx="6273165" cy="3528695"/>
        </a:xfrm>
        <a:prstGeom prst="rect">
          <a:avLst/>
        </a:prstGeom>
        <a:noFill/>
        <a:ln>
          <a:solidFill>
            <a:schemeClr val="tx1"/>
          </a:solidFill>
        </a:ln>
      </xdr:spPr>
    </xdr:pic>
    <xdr:clientData/>
  </xdr:twoCellAnchor>
  <xdr:twoCellAnchor>
    <xdr:from>
      <xdr:col>14</xdr:col>
      <xdr:colOff>514350</xdr:colOff>
      <xdr:row>0</xdr:row>
      <xdr:rowOff>47625</xdr:rowOff>
    </xdr:from>
    <xdr:to>
      <xdr:col>19</xdr:col>
      <xdr:colOff>178175</xdr:colOff>
      <xdr:row>1</xdr:row>
      <xdr:rowOff>152400</xdr:rowOff>
    </xdr:to>
    <xdr:sp macro="" textlink="">
      <xdr:nvSpPr>
        <xdr:cNvPr id="3" name="TextBox 2">
          <a:hlinkClick xmlns:r="http://schemas.openxmlformats.org/officeDocument/2006/relationships" r:id="rId3"/>
          <a:extLst>
            <a:ext uri="{FF2B5EF4-FFF2-40B4-BE49-F238E27FC236}">
              <a16:creationId xmlns:a16="http://schemas.microsoft.com/office/drawing/2014/main" id="{00000000-0008-0000-0600-000003000000}"/>
            </a:ext>
          </a:extLst>
        </xdr:cNvPr>
        <xdr:cNvSpPr txBox="1"/>
      </xdr:nvSpPr>
      <xdr:spPr>
        <a:xfrm>
          <a:off x="8439150" y="47625"/>
          <a:ext cx="2711825" cy="295275"/>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twoCellAnchor editAs="oneCell">
    <xdr:from>
      <xdr:col>1</xdr:col>
      <xdr:colOff>0</xdr:colOff>
      <xdr:row>11</xdr:row>
      <xdr:rowOff>0</xdr:rowOff>
    </xdr:from>
    <xdr:to>
      <xdr:col>11</xdr:col>
      <xdr:colOff>553085</xdr:colOff>
      <xdr:row>22</xdr:row>
      <xdr:rowOff>50800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1475" y="41052750"/>
          <a:ext cx="6649085" cy="2146300"/>
        </a:xfrm>
        <a:prstGeom prst="rect">
          <a:avLst/>
        </a:prstGeom>
        <a:noFill/>
        <a:ln>
          <a:solidFill>
            <a:schemeClr val="tx1"/>
          </a:solidFill>
        </a:ln>
      </xdr:spPr>
    </xdr:pic>
    <xdr:clientData/>
  </xdr:twoCellAnchor>
  <xdr:twoCellAnchor editAs="oneCell">
    <xdr:from>
      <xdr:col>12</xdr:col>
      <xdr:colOff>257175</xdr:colOff>
      <xdr:row>10</xdr:row>
      <xdr:rowOff>47625</xdr:rowOff>
    </xdr:from>
    <xdr:to>
      <xdr:col>23</xdr:col>
      <xdr:colOff>226060</xdr:colOff>
      <xdr:row>23</xdr:row>
      <xdr:rowOff>114935</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0" y="40909875"/>
          <a:ext cx="6674485" cy="2543810"/>
        </a:xfrm>
        <a:prstGeom prst="rect">
          <a:avLst/>
        </a:prstGeom>
        <a:noFill/>
        <a:ln>
          <a:solidFill>
            <a:schemeClr val="tx1"/>
          </a:solidFill>
        </a:ln>
      </xdr:spPr>
    </xdr:pic>
    <xdr:clientData/>
  </xdr:twoCellAnchor>
  <xdr:twoCellAnchor editAs="oneCell">
    <xdr:from>
      <xdr:col>1</xdr:col>
      <xdr:colOff>0</xdr:colOff>
      <xdr:row>31</xdr:row>
      <xdr:rowOff>0</xdr:rowOff>
    </xdr:from>
    <xdr:to>
      <xdr:col>7</xdr:col>
      <xdr:colOff>158750</xdr:colOff>
      <xdr:row>53</xdr:row>
      <xdr:rowOff>177800</xdr:rowOff>
    </xdr:to>
    <xdr:pic>
      <xdr:nvPicPr>
        <xdr:cNvPr id="6" name="Picture 5" descr="Chart, bar chart&#10;&#10;Description automatically generated">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71475" y="44862750"/>
          <a:ext cx="3816350" cy="4368800"/>
        </a:xfrm>
        <a:prstGeom prst="rect">
          <a:avLst/>
        </a:prstGeom>
        <a:ln>
          <a:solidFill>
            <a:schemeClr val="tx1"/>
          </a:solidFill>
        </a:ln>
      </xdr:spPr>
    </xdr:pic>
    <xdr:clientData/>
  </xdr:twoCellAnchor>
  <xdr:twoCellAnchor>
    <xdr:from>
      <xdr:col>3</xdr:col>
      <xdr:colOff>0</xdr:colOff>
      <xdr:row>24</xdr:row>
      <xdr:rowOff>152400</xdr:rowOff>
    </xdr:from>
    <xdr:to>
      <xdr:col>5</xdr:col>
      <xdr:colOff>0</xdr:colOff>
      <xdr:row>26</xdr:row>
      <xdr:rowOff>38101</xdr:rowOff>
    </xdr:to>
    <xdr:sp macro="" textlink="">
      <xdr:nvSpPr>
        <xdr:cNvPr id="8" name="TextBox 7">
          <a:hlinkClick xmlns:r="http://schemas.openxmlformats.org/officeDocument/2006/relationships" r:id="rId7"/>
          <a:extLst>
            <a:ext uri="{FF2B5EF4-FFF2-40B4-BE49-F238E27FC236}">
              <a16:creationId xmlns:a16="http://schemas.microsoft.com/office/drawing/2014/main" id="{00000000-0008-0000-0600-000008000000}"/>
            </a:ext>
          </a:extLst>
        </xdr:cNvPr>
        <xdr:cNvSpPr txBox="1"/>
      </xdr:nvSpPr>
      <xdr:spPr>
        <a:xfrm>
          <a:off x="1828800" y="4772025"/>
          <a:ext cx="1219200"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t>
          </a:r>
          <a:r>
            <a:rPr lang="en-US" sz="1100">
              <a:solidFill>
                <a:srgbClr val="0070C0"/>
              </a:solidFill>
              <a:latin typeface="Aptos" panose="020B0004020202020204" pitchFamily="34" charset="0"/>
            </a:rPr>
            <a:t>Deloitte Study</a:t>
          </a:r>
          <a:r>
            <a:rPr lang="en-US" sz="1100">
              <a:solidFill>
                <a:sysClr val="windowText" lastClr="000000"/>
              </a:solidFill>
              <a:latin typeface="Aptos" panose="020B0004020202020204" pitchFamily="34" charset="0"/>
            </a:rPr>
            <a:t>],</a:t>
          </a:r>
        </a:p>
      </xdr:txBody>
    </xdr:sp>
    <xdr:clientData/>
  </xdr:twoCellAnchor>
  <xdr:twoCellAnchor>
    <xdr:from>
      <xdr:col>4</xdr:col>
      <xdr:colOff>523874</xdr:colOff>
      <xdr:row>55</xdr:row>
      <xdr:rowOff>152400</xdr:rowOff>
    </xdr:from>
    <xdr:to>
      <xdr:col>8</xdr:col>
      <xdr:colOff>28575</xdr:colOff>
      <xdr:row>57</xdr:row>
      <xdr:rowOff>76200</xdr:rowOff>
    </xdr:to>
    <xdr:sp macro="" textlink="">
      <xdr:nvSpPr>
        <xdr:cNvPr id="9" name="TextBox 8">
          <a:hlinkClick xmlns:r="http://schemas.openxmlformats.org/officeDocument/2006/relationships" r:id="rId8"/>
          <a:extLst>
            <a:ext uri="{FF2B5EF4-FFF2-40B4-BE49-F238E27FC236}">
              <a16:creationId xmlns:a16="http://schemas.microsoft.com/office/drawing/2014/main" id="{00000000-0008-0000-0600-000009000000}"/>
            </a:ext>
          </a:extLst>
        </xdr:cNvPr>
        <xdr:cNvSpPr txBox="1"/>
      </xdr:nvSpPr>
      <xdr:spPr>
        <a:xfrm>
          <a:off x="2962274" y="10677525"/>
          <a:ext cx="1943101"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a:solidFill>
                <a:sysClr val="windowText" lastClr="000000"/>
              </a:solidFill>
              <a:latin typeface="Aptos" panose="020B0004020202020204" pitchFamily="34" charset="0"/>
            </a:rPr>
            <a:t>[</a:t>
          </a:r>
          <a:r>
            <a:rPr lang="en-US" sz="1400">
              <a:solidFill>
                <a:srgbClr val="0070C0"/>
              </a:solidFill>
              <a:latin typeface="Aptos" panose="020B0004020202020204" pitchFamily="34" charset="0"/>
            </a:rPr>
            <a:t>Grand View Research</a:t>
          </a:r>
          <a:r>
            <a:rPr lang="en-US" sz="1400">
              <a:solidFill>
                <a:sysClr val="windowText" lastClr="000000"/>
              </a:solidFill>
              <a:latin typeface="Aptos" panose="020B0004020202020204" pitchFamily="34" charset="0"/>
            </a:rPr>
            <a:t>]</a:t>
          </a:r>
        </a:p>
      </xdr:txBody>
    </xdr:sp>
    <xdr:clientData/>
  </xdr:twoCellAnchor>
  <xdr:twoCellAnchor>
    <xdr:from>
      <xdr:col>0</xdr:col>
      <xdr:colOff>542925</xdr:colOff>
      <xdr:row>7</xdr:row>
      <xdr:rowOff>57150</xdr:rowOff>
    </xdr:from>
    <xdr:to>
      <xdr:col>4</xdr:col>
      <xdr:colOff>19050</xdr:colOff>
      <xdr:row>8</xdr:row>
      <xdr:rowOff>133351</xdr:rowOff>
    </xdr:to>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542925" y="1438275"/>
          <a:ext cx="191452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According to Morgan Stanley</a:t>
          </a:r>
        </a:p>
      </xdr:txBody>
    </xdr:sp>
    <xdr:clientData/>
  </xdr:twoCellAnchor>
  <xdr:twoCellAnchor>
    <xdr:from>
      <xdr:col>6</xdr:col>
      <xdr:colOff>66676</xdr:colOff>
      <xdr:row>7</xdr:row>
      <xdr:rowOff>57150</xdr:rowOff>
    </xdr:from>
    <xdr:to>
      <xdr:col>26</xdr:col>
      <xdr:colOff>485776</xdr:colOff>
      <xdr:row>8</xdr:row>
      <xdr:rowOff>133351</xdr:rowOff>
    </xdr:to>
    <xdr:sp macro="" textlink="">
      <xdr:nvSpPr>
        <xdr:cNvPr id="11" name="TextBox 10">
          <a:extLst>
            <a:ext uri="{FF2B5EF4-FFF2-40B4-BE49-F238E27FC236}">
              <a16:creationId xmlns:a16="http://schemas.microsoft.com/office/drawing/2014/main" id="{00000000-0008-0000-0600-00000B000000}"/>
            </a:ext>
          </a:extLst>
        </xdr:cNvPr>
        <xdr:cNvSpPr txBox="1"/>
      </xdr:nvSpPr>
      <xdr:spPr>
        <a:xfrm>
          <a:off x="3724276" y="1438275"/>
          <a:ext cx="12611100"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the Urban Air Mobility TAM base case to $1 Trillion by 2040, but rolls out projections until 2050, when the TAM is projected to be $9 Trillion. We don’t think investors are prepared for the scope of this revolution. </a:t>
          </a:r>
        </a:p>
      </xdr:txBody>
    </xdr:sp>
    <xdr:clientData/>
  </xdr:twoCellAnchor>
  <xdr:twoCellAnchor>
    <xdr:from>
      <xdr:col>0</xdr:col>
      <xdr:colOff>552451</xdr:colOff>
      <xdr:row>24</xdr:row>
      <xdr:rowOff>161925</xdr:rowOff>
    </xdr:from>
    <xdr:to>
      <xdr:col>3</xdr:col>
      <xdr:colOff>190501</xdr:colOff>
      <xdr:row>26</xdr:row>
      <xdr:rowOff>47626</xdr:rowOff>
    </xdr:to>
    <xdr:sp macro="" textlink="">
      <xdr:nvSpPr>
        <xdr:cNvPr id="12" name="TextBox 11">
          <a:extLst>
            <a:ext uri="{FF2B5EF4-FFF2-40B4-BE49-F238E27FC236}">
              <a16:creationId xmlns:a16="http://schemas.microsoft.com/office/drawing/2014/main" id="{00000000-0008-0000-0600-00000C000000}"/>
            </a:ext>
          </a:extLst>
        </xdr:cNvPr>
        <xdr:cNvSpPr txBox="1"/>
      </xdr:nvSpPr>
      <xdr:spPr>
        <a:xfrm>
          <a:off x="552451" y="4781550"/>
          <a:ext cx="1466850"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According to Deloitte</a:t>
          </a:r>
        </a:p>
      </xdr:txBody>
    </xdr:sp>
    <xdr:clientData/>
  </xdr:twoCellAnchor>
  <xdr:twoCellAnchor>
    <xdr:from>
      <xdr:col>4</xdr:col>
      <xdr:colOff>400049</xdr:colOff>
      <xdr:row>24</xdr:row>
      <xdr:rowOff>152400</xdr:rowOff>
    </xdr:from>
    <xdr:to>
      <xdr:col>11</xdr:col>
      <xdr:colOff>104774</xdr:colOff>
      <xdr:row>26</xdr:row>
      <xdr:rowOff>38101</xdr:rowOff>
    </xdr:to>
    <xdr:sp macro="" textlink="">
      <xdr:nvSpPr>
        <xdr:cNvPr id="13" name="TextBox 12">
          <a:extLst>
            <a:ext uri="{FF2B5EF4-FFF2-40B4-BE49-F238E27FC236}">
              <a16:creationId xmlns:a16="http://schemas.microsoft.com/office/drawing/2014/main" id="{00000000-0008-0000-0600-00000D000000}"/>
            </a:ext>
          </a:extLst>
        </xdr:cNvPr>
        <xdr:cNvSpPr txBox="1"/>
      </xdr:nvSpPr>
      <xdr:spPr>
        <a:xfrm>
          <a:off x="2838449" y="4772025"/>
          <a:ext cx="397192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AAM market poised to grow sevenfold between 2025 and 2035.</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323850</xdr:colOff>
      <xdr:row>76</xdr:row>
      <xdr:rowOff>95250</xdr:rowOff>
    </xdr:from>
    <xdr:to>
      <xdr:col>23</xdr:col>
      <xdr:colOff>61595</xdr:colOff>
      <xdr:row>86</xdr:row>
      <xdr:rowOff>188595</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39325" y="4581525"/>
          <a:ext cx="4004945" cy="2017395"/>
        </a:xfrm>
        <a:prstGeom prst="rect">
          <a:avLst/>
        </a:prstGeom>
        <a:noFill/>
        <a:ln>
          <a:solidFill>
            <a:schemeClr val="tx1"/>
          </a:solidFill>
        </a:ln>
      </xdr:spPr>
    </xdr:pic>
    <xdr:clientData/>
  </xdr:twoCellAnchor>
  <xdr:twoCellAnchor editAs="oneCell">
    <xdr:from>
      <xdr:col>1</xdr:col>
      <xdr:colOff>438150</xdr:colOff>
      <xdr:row>109</xdr:row>
      <xdr:rowOff>9525</xdr:rowOff>
    </xdr:from>
    <xdr:to>
      <xdr:col>9</xdr:col>
      <xdr:colOff>83820</xdr:colOff>
      <xdr:row>126</xdr:row>
      <xdr:rowOff>76200</xdr:rowOff>
    </xdr:to>
    <xdr:pic>
      <xdr:nvPicPr>
        <xdr:cNvPr id="4" name="Picture 3" descr="Graphical user interface&#10;&#10;Description automatically generated">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9625" y="10820400"/>
          <a:ext cx="4522470" cy="3305175"/>
        </a:xfrm>
        <a:prstGeom prst="rect">
          <a:avLst/>
        </a:prstGeom>
        <a:ln>
          <a:solidFill>
            <a:schemeClr val="tx1"/>
          </a:solidFill>
        </a:ln>
      </xdr:spPr>
    </xdr:pic>
    <xdr:clientData/>
  </xdr:twoCellAnchor>
  <xdr:twoCellAnchor editAs="oneCell">
    <xdr:from>
      <xdr:col>10</xdr:col>
      <xdr:colOff>0</xdr:colOff>
      <xdr:row>109</xdr:row>
      <xdr:rowOff>0</xdr:rowOff>
    </xdr:from>
    <xdr:to>
      <xdr:col>19</xdr:col>
      <xdr:colOff>558800</xdr:colOff>
      <xdr:row>124</xdr:row>
      <xdr:rowOff>187960</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7875" y="10810875"/>
          <a:ext cx="6045200" cy="3045460"/>
        </a:xfrm>
        <a:prstGeom prst="rect">
          <a:avLst/>
        </a:prstGeom>
        <a:noFill/>
        <a:ln>
          <a:solidFill>
            <a:schemeClr val="tx1"/>
          </a:solidFill>
        </a:ln>
      </xdr:spPr>
    </xdr:pic>
    <xdr:clientData/>
  </xdr:twoCellAnchor>
  <xdr:twoCellAnchor editAs="oneCell">
    <xdr:from>
      <xdr:col>1</xdr:col>
      <xdr:colOff>409575</xdr:colOff>
      <xdr:row>131</xdr:row>
      <xdr:rowOff>142875</xdr:rowOff>
    </xdr:from>
    <xdr:to>
      <xdr:col>10</xdr:col>
      <xdr:colOff>224790</xdr:colOff>
      <xdr:row>147</xdr:row>
      <xdr:rowOff>60325</xdr:rowOff>
    </xdr:to>
    <xdr:pic>
      <xdr:nvPicPr>
        <xdr:cNvPr id="6" name="Picture 5" descr="Chart, waterfall chart&#10;&#10;Description automatically generated">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81050" y="15154275"/>
          <a:ext cx="5301615" cy="2965450"/>
        </a:xfrm>
        <a:prstGeom prst="rect">
          <a:avLst/>
        </a:prstGeom>
        <a:ln>
          <a:solidFill>
            <a:schemeClr val="tx1"/>
          </a:solidFill>
        </a:ln>
      </xdr:spPr>
    </xdr:pic>
    <xdr:clientData/>
  </xdr:twoCellAnchor>
  <xdr:twoCellAnchor editAs="oneCell">
    <xdr:from>
      <xdr:col>14</xdr:col>
      <xdr:colOff>533400</xdr:colOff>
      <xdr:row>179</xdr:row>
      <xdr:rowOff>38100</xdr:rowOff>
    </xdr:from>
    <xdr:to>
      <xdr:col>23</xdr:col>
      <xdr:colOff>273050</xdr:colOff>
      <xdr:row>199</xdr:row>
      <xdr:rowOff>82550</xdr:rowOff>
    </xdr:to>
    <xdr:pic>
      <xdr:nvPicPr>
        <xdr:cNvPr id="7" name="Picture 6" descr="Chart&#10;&#10;Description automatically generated with medium confidence">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829675" y="24250650"/>
          <a:ext cx="5226050" cy="3854450"/>
        </a:xfrm>
        <a:prstGeom prst="rect">
          <a:avLst/>
        </a:prstGeom>
        <a:ln>
          <a:solidFill>
            <a:schemeClr val="tx1"/>
          </a:solidFill>
        </a:ln>
      </xdr:spPr>
    </xdr:pic>
    <xdr:clientData/>
  </xdr:twoCellAnchor>
  <xdr:twoCellAnchor editAs="oneCell">
    <xdr:from>
      <xdr:col>1</xdr:col>
      <xdr:colOff>38100</xdr:colOff>
      <xdr:row>203</xdr:row>
      <xdr:rowOff>47625</xdr:rowOff>
    </xdr:from>
    <xdr:to>
      <xdr:col>8</xdr:col>
      <xdr:colOff>126365</xdr:colOff>
      <xdr:row>214</xdr:row>
      <xdr:rowOff>146050</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09575" y="28841700"/>
          <a:ext cx="4355465" cy="2193925"/>
        </a:xfrm>
        <a:prstGeom prst="rect">
          <a:avLst/>
        </a:prstGeom>
        <a:noFill/>
        <a:ln>
          <a:solidFill>
            <a:schemeClr val="tx1"/>
          </a:solidFill>
        </a:ln>
      </xdr:spPr>
    </xdr:pic>
    <xdr:clientData/>
  </xdr:twoCellAnchor>
  <xdr:twoCellAnchor editAs="oneCell">
    <xdr:from>
      <xdr:col>14</xdr:col>
      <xdr:colOff>57150</xdr:colOff>
      <xdr:row>217</xdr:row>
      <xdr:rowOff>38100</xdr:rowOff>
    </xdr:from>
    <xdr:to>
      <xdr:col>23</xdr:col>
      <xdr:colOff>564515</xdr:colOff>
      <xdr:row>233</xdr:row>
      <xdr:rowOff>9525</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353425" y="31508700"/>
          <a:ext cx="5993765" cy="3019425"/>
        </a:xfrm>
        <a:prstGeom prst="rect">
          <a:avLst/>
        </a:prstGeom>
        <a:noFill/>
        <a:ln>
          <a:solidFill>
            <a:schemeClr val="tx1"/>
          </a:solidFill>
        </a:ln>
      </xdr:spPr>
    </xdr:pic>
    <xdr:clientData/>
  </xdr:twoCellAnchor>
  <xdr:twoCellAnchor editAs="oneCell">
    <xdr:from>
      <xdr:col>1</xdr:col>
      <xdr:colOff>0</xdr:colOff>
      <xdr:row>236</xdr:row>
      <xdr:rowOff>0</xdr:rowOff>
    </xdr:from>
    <xdr:to>
      <xdr:col>12</xdr:col>
      <xdr:colOff>152400</xdr:colOff>
      <xdr:row>256</xdr:row>
      <xdr:rowOff>83820</xdr:rowOff>
    </xdr:to>
    <xdr:pic>
      <xdr:nvPicPr>
        <xdr:cNvPr id="10" name="Picture 9" descr="Waterfall chart&#10;&#10;Description automatically generated">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71475" y="35099625"/>
          <a:ext cx="6858000" cy="3893820"/>
        </a:xfrm>
        <a:prstGeom prst="rect">
          <a:avLst/>
        </a:prstGeom>
        <a:ln>
          <a:solidFill>
            <a:schemeClr val="tx1"/>
          </a:solidFill>
        </a:ln>
      </xdr:spPr>
    </xdr:pic>
    <xdr:clientData/>
  </xdr:twoCellAnchor>
  <xdr:twoCellAnchor>
    <xdr:from>
      <xdr:col>15</xdr:col>
      <xdr:colOff>381000</xdr:colOff>
      <xdr:row>0</xdr:row>
      <xdr:rowOff>171451</xdr:rowOff>
    </xdr:from>
    <xdr:to>
      <xdr:col>20</xdr:col>
      <xdr:colOff>44825</xdr:colOff>
      <xdr:row>2</xdr:row>
      <xdr:rowOff>66675</xdr:rowOff>
    </xdr:to>
    <xdr:sp macro="" textlink="">
      <xdr:nvSpPr>
        <xdr:cNvPr id="2" name="TextBox 1">
          <a:hlinkClick xmlns:r="http://schemas.openxmlformats.org/officeDocument/2006/relationships" r:id="rId9"/>
          <a:extLst>
            <a:ext uri="{FF2B5EF4-FFF2-40B4-BE49-F238E27FC236}">
              <a16:creationId xmlns:a16="http://schemas.microsoft.com/office/drawing/2014/main" id="{00000000-0008-0000-0700-000002000000}"/>
            </a:ext>
          </a:extLst>
        </xdr:cNvPr>
        <xdr:cNvSpPr txBox="1"/>
      </xdr:nvSpPr>
      <xdr:spPr>
        <a:xfrm>
          <a:off x="8677275" y="171451"/>
          <a:ext cx="2711825" cy="323849"/>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twoCellAnchor editAs="oneCell">
    <xdr:from>
      <xdr:col>1</xdr:col>
      <xdr:colOff>0</xdr:colOff>
      <xdr:row>10</xdr:row>
      <xdr:rowOff>0</xdr:rowOff>
    </xdr:from>
    <xdr:to>
      <xdr:col>11</xdr:col>
      <xdr:colOff>553085</xdr:colOff>
      <xdr:row>21</xdr:row>
      <xdr:rowOff>50800</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09600" y="2143125"/>
          <a:ext cx="6649085" cy="2146300"/>
        </a:xfrm>
        <a:prstGeom prst="rect">
          <a:avLst/>
        </a:prstGeom>
        <a:noFill/>
        <a:ln>
          <a:solidFill>
            <a:schemeClr val="tx1"/>
          </a:solidFill>
        </a:ln>
      </xdr:spPr>
    </xdr:pic>
    <xdr:clientData/>
  </xdr:twoCellAnchor>
  <xdr:twoCellAnchor editAs="oneCell">
    <xdr:from>
      <xdr:col>12</xdr:col>
      <xdr:colOff>257175</xdr:colOff>
      <xdr:row>9</xdr:row>
      <xdr:rowOff>47625</xdr:rowOff>
    </xdr:from>
    <xdr:to>
      <xdr:col>23</xdr:col>
      <xdr:colOff>226060</xdr:colOff>
      <xdr:row>22</xdr:row>
      <xdr:rowOff>114935</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572375" y="2000250"/>
          <a:ext cx="6674485" cy="2543810"/>
        </a:xfrm>
        <a:prstGeom prst="rect">
          <a:avLst/>
        </a:prstGeom>
        <a:noFill/>
        <a:ln>
          <a:solidFill>
            <a:schemeClr val="tx1"/>
          </a:solidFill>
        </a:ln>
      </xdr:spPr>
    </xdr:pic>
    <xdr:clientData/>
  </xdr:twoCellAnchor>
  <xdr:twoCellAnchor editAs="oneCell">
    <xdr:from>
      <xdr:col>1</xdr:col>
      <xdr:colOff>0</xdr:colOff>
      <xdr:row>30</xdr:row>
      <xdr:rowOff>0</xdr:rowOff>
    </xdr:from>
    <xdr:to>
      <xdr:col>7</xdr:col>
      <xdr:colOff>158750</xdr:colOff>
      <xdr:row>52</xdr:row>
      <xdr:rowOff>177800</xdr:rowOff>
    </xdr:to>
    <xdr:pic>
      <xdr:nvPicPr>
        <xdr:cNvPr id="17" name="Picture 16" descr="Chart, bar chart&#10;&#10;Description automatically generated">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09600" y="5953125"/>
          <a:ext cx="3816350" cy="4368800"/>
        </a:xfrm>
        <a:prstGeom prst="rect">
          <a:avLst/>
        </a:prstGeom>
        <a:ln>
          <a:solidFill>
            <a:schemeClr val="tx1"/>
          </a:solidFill>
        </a:ln>
      </xdr:spPr>
    </xdr:pic>
    <xdr:clientData/>
  </xdr:twoCellAnchor>
  <xdr:twoCellAnchor>
    <xdr:from>
      <xdr:col>3</xdr:col>
      <xdr:colOff>504825</xdr:colOff>
      <xdr:row>53</xdr:row>
      <xdr:rowOff>152400</xdr:rowOff>
    </xdr:from>
    <xdr:to>
      <xdr:col>6</xdr:col>
      <xdr:colOff>552450</xdr:colOff>
      <xdr:row>54</xdr:row>
      <xdr:rowOff>228601</xdr:rowOff>
    </xdr:to>
    <xdr:sp macro="" textlink="">
      <xdr:nvSpPr>
        <xdr:cNvPr id="19" name="TextBox 18">
          <a:hlinkClick xmlns:r="http://schemas.openxmlformats.org/officeDocument/2006/relationships" r:id="rId13"/>
          <a:extLst>
            <a:ext uri="{FF2B5EF4-FFF2-40B4-BE49-F238E27FC236}">
              <a16:creationId xmlns:a16="http://schemas.microsoft.com/office/drawing/2014/main" id="{00000000-0008-0000-0700-000013000000}"/>
            </a:ext>
          </a:extLst>
        </xdr:cNvPr>
        <xdr:cNvSpPr txBox="1"/>
      </xdr:nvSpPr>
      <xdr:spPr>
        <a:xfrm>
          <a:off x="2095500" y="10296525"/>
          <a:ext cx="187642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a:solidFill>
                <a:sysClr val="windowText" lastClr="000000"/>
              </a:solidFill>
              <a:latin typeface="Aptos" panose="020B0004020202020204" pitchFamily="34" charset="0"/>
            </a:rPr>
            <a:t>[</a:t>
          </a:r>
          <a:r>
            <a:rPr lang="en-US" sz="1400">
              <a:solidFill>
                <a:srgbClr val="0070C0"/>
              </a:solidFill>
              <a:latin typeface="Aptos" panose="020B0004020202020204" pitchFamily="34" charset="0"/>
            </a:rPr>
            <a:t>Mordor</a:t>
          </a:r>
          <a:r>
            <a:rPr lang="en-US" sz="1400" baseline="0">
              <a:solidFill>
                <a:srgbClr val="0070C0"/>
              </a:solidFill>
              <a:latin typeface="Aptos" panose="020B0004020202020204" pitchFamily="34" charset="0"/>
            </a:rPr>
            <a:t> Intelligence</a:t>
          </a:r>
          <a:r>
            <a:rPr lang="en-US" sz="1400">
              <a:solidFill>
                <a:sysClr val="windowText" lastClr="000000"/>
              </a:solidFill>
              <a:latin typeface="Aptos" panose="020B0004020202020204" pitchFamily="34" charset="0"/>
            </a:rPr>
            <a:t>]</a:t>
          </a:r>
        </a:p>
      </xdr:txBody>
    </xdr:sp>
    <xdr:clientData/>
  </xdr:twoCellAnchor>
  <xdr:twoCellAnchor>
    <xdr:from>
      <xdr:col>7</xdr:col>
      <xdr:colOff>571500</xdr:colOff>
      <xdr:row>69</xdr:row>
      <xdr:rowOff>161925</xdr:rowOff>
    </xdr:from>
    <xdr:to>
      <xdr:col>10</xdr:col>
      <xdr:colOff>219075</xdr:colOff>
      <xdr:row>71</xdr:row>
      <xdr:rowOff>38101</xdr:rowOff>
    </xdr:to>
    <xdr:sp macro="" textlink="">
      <xdr:nvSpPr>
        <xdr:cNvPr id="20" name="TextBox 19">
          <a:hlinkClick xmlns:r="http://schemas.openxmlformats.org/officeDocument/2006/relationships" r:id="rId13"/>
          <a:extLst>
            <a:ext uri="{FF2B5EF4-FFF2-40B4-BE49-F238E27FC236}">
              <a16:creationId xmlns:a16="http://schemas.microsoft.com/office/drawing/2014/main" id="{00000000-0008-0000-0700-000014000000}"/>
            </a:ext>
          </a:extLst>
        </xdr:cNvPr>
        <xdr:cNvSpPr txBox="1"/>
      </xdr:nvSpPr>
      <xdr:spPr>
        <a:xfrm>
          <a:off x="4600575" y="13449300"/>
          <a:ext cx="147637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t>
          </a:r>
          <a:r>
            <a:rPr lang="en-US" sz="1100">
              <a:solidFill>
                <a:srgbClr val="0070C0"/>
              </a:solidFill>
              <a:latin typeface="Aptos" panose="020B0004020202020204" pitchFamily="34" charset="0"/>
            </a:rPr>
            <a:t>Mordor</a:t>
          </a:r>
          <a:r>
            <a:rPr lang="en-US" sz="1100" baseline="0">
              <a:solidFill>
                <a:srgbClr val="0070C0"/>
              </a:solidFill>
              <a:latin typeface="Aptos" panose="020B0004020202020204" pitchFamily="34" charset="0"/>
            </a:rPr>
            <a:t> Intelligence</a:t>
          </a:r>
          <a:r>
            <a:rPr lang="en-US" sz="1100">
              <a:solidFill>
                <a:sysClr val="windowText" lastClr="000000"/>
              </a:solidFill>
              <a:latin typeface="Aptos" panose="020B0004020202020204" pitchFamily="34" charset="0"/>
            </a:rPr>
            <a:t>]</a:t>
          </a:r>
        </a:p>
      </xdr:txBody>
    </xdr:sp>
    <xdr:clientData/>
  </xdr:twoCellAnchor>
  <xdr:twoCellAnchor>
    <xdr:from>
      <xdr:col>2</xdr:col>
      <xdr:colOff>600075</xdr:colOff>
      <xdr:row>75</xdr:row>
      <xdr:rowOff>161925</xdr:rowOff>
    </xdr:from>
    <xdr:to>
      <xdr:col>5</xdr:col>
      <xdr:colOff>247650</xdr:colOff>
      <xdr:row>77</xdr:row>
      <xdr:rowOff>38101</xdr:rowOff>
    </xdr:to>
    <xdr:sp macro="" textlink="">
      <xdr:nvSpPr>
        <xdr:cNvPr id="21" name="TextBox 20">
          <a:hlinkClick xmlns:r="http://schemas.openxmlformats.org/officeDocument/2006/relationships" r:id="rId13"/>
          <a:extLst>
            <a:ext uri="{FF2B5EF4-FFF2-40B4-BE49-F238E27FC236}">
              <a16:creationId xmlns:a16="http://schemas.microsoft.com/office/drawing/2014/main" id="{00000000-0008-0000-0700-000015000000}"/>
            </a:ext>
          </a:extLst>
        </xdr:cNvPr>
        <xdr:cNvSpPr txBox="1"/>
      </xdr:nvSpPr>
      <xdr:spPr>
        <a:xfrm>
          <a:off x="1581150" y="14601825"/>
          <a:ext cx="147637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t>
          </a:r>
          <a:r>
            <a:rPr lang="en-US" sz="1100">
              <a:solidFill>
                <a:srgbClr val="0070C0"/>
              </a:solidFill>
              <a:latin typeface="Aptos" panose="020B0004020202020204" pitchFamily="34" charset="0"/>
            </a:rPr>
            <a:t>Mordor</a:t>
          </a:r>
          <a:r>
            <a:rPr lang="en-US" sz="1100" baseline="0">
              <a:solidFill>
                <a:srgbClr val="0070C0"/>
              </a:solidFill>
              <a:latin typeface="Aptos" panose="020B0004020202020204" pitchFamily="34" charset="0"/>
            </a:rPr>
            <a:t> Intelligence</a:t>
          </a:r>
          <a:r>
            <a:rPr lang="en-US" sz="1100">
              <a:solidFill>
                <a:sysClr val="windowText" lastClr="000000"/>
              </a:solidFill>
              <a:latin typeface="Aptos" panose="020B0004020202020204" pitchFamily="34" charset="0"/>
            </a:rPr>
            <a:t>]</a:t>
          </a:r>
        </a:p>
      </xdr:txBody>
    </xdr:sp>
    <xdr:clientData/>
  </xdr:twoCellAnchor>
  <xdr:twoCellAnchor>
    <xdr:from>
      <xdr:col>4</xdr:col>
      <xdr:colOff>600075</xdr:colOff>
      <xdr:row>90</xdr:row>
      <xdr:rowOff>161925</xdr:rowOff>
    </xdr:from>
    <xdr:to>
      <xdr:col>7</xdr:col>
      <xdr:colOff>247650</xdr:colOff>
      <xdr:row>92</xdr:row>
      <xdr:rowOff>38101</xdr:rowOff>
    </xdr:to>
    <xdr:sp macro="" textlink="">
      <xdr:nvSpPr>
        <xdr:cNvPr id="22" name="TextBox 21">
          <a:hlinkClick xmlns:r="http://schemas.openxmlformats.org/officeDocument/2006/relationships" r:id="rId13"/>
          <a:extLst>
            <a:ext uri="{FF2B5EF4-FFF2-40B4-BE49-F238E27FC236}">
              <a16:creationId xmlns:a16="http://schemas.microsoft.com/office/drawing/2014/main" id="{00000000-0008-0000-0700-000016000000}"/>
            </a:ext>
          </a:extLst>
        </xdr:cNvPr>
        <xdr:cNvSpPr txBox="1"/>
      </xdr:nvSpPr>
      <xdr:spPr>
        <a:xfrm>
          <a:off x="2800350" y="17478375"/>
          <a:ext cx="147637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t>
          </a:r>
          <a:r>
            <a:rPr lang="en-US" sz="1100">
              <a:solidFill>
                <a:srgbClr val="0070C0"/>
              </a:solidFill>
              <a:latin typeface="Aptos" panose="020B0004020202020204" pitchFamily="34" charset="0"/>
            </a:rPr>
            <a:t>Mordor</a:t>
          </a:r>
          <a:r>
            <a:rPr lang="en-US" sz="1100" baseline="0">
              <a:solidFill>
                <a:srgbClr val="0070C0"/>
              </a:solidFill>
              <a:latin typeface="Aptos" panose="020B0004020202020204" pitchFamily="34" charset="0"/>
            </a:rPr>
            <a:t> Intelligence</a:t>
          </a:r>
          <a:r>
            <a:rPr lang="en-US" sz="1100">
              <a:solidFill>
                <a:sysClr val="windowText" lastClr="000000"/>
              </a:solidFill>
              <a:latin typeface="Aptos" panose="020B0004020202020204" pitchFamily="34" charset="0"/>
            </a:rPr>
            <a:t>]</a:t>
          </a:r>
        </a:p>
      </xdr:txBody>
    </xdr:sp>
    <xdr:clientData/>
  </xdr:twoCellAnchor>
  <xdr:twoCellAnchor>
    <xdr:from>
      <xdr:col>2</xdr:col>
      <xdr:colOff>533400</xdr:colOff>
      <xdr:row>106</xdr:row>
      <xdr:rowOff>161925</xdr:rowOff>
    </xdr:from>
    <xdr:to>
      <xdr:col>5</xdr:col>
      <xdr:colOff>180975</xdr:colOff>
      <xdr:row>108</xdr:row>
      <xdr:rowOff>38101</xdr:rowOff>
    </xdr:to>
    <xdr:sp macro="" textlink="">
      <xdr:nvSpPr>
        <xdr:cNvPr id="23" name="TextBox 22">
          <a:hlinkClick xmlns:r="http://schemas.openxmlformats.org/officeDocument/2006/relationships" r:id="rId13"/>
          <a:extLst>
            <a:ext uri="{FF2B5EF4-FFF2-40B4-BE49-F238E27FC236}">
              <a16:creationId xmlns:a16="http://schemas.microsoft.com/office/drawing/2014/main" id="{00000000-0008-0000-0700-000017000000}"/>
            </a:ext>
          </a:extLst>
        </xdr:cNvPr>
        <xdr:cNvSpPr txBox="1"/>
      </xdr:nvSpPr>
      <xdr:spPr>
        <a:xfrm>
          <a:off x="1514475" y="20535900"/>
          <a:ext cx="147637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t>
          </a:r>
          <a:r>
            <a:rPr lang="en-US" sz="1100">
              <a:solidFill>
                <a:srgbClr val="0070C0"/>
              </a:solidFill>
              <a:latin typeface="Aptos" panose="020B0004020202020204" pitchFamily="34" charset="0"/>
            </a:rPr>
            <a:t>Mordor</a:t>
          </a:r>
          <a:r>
            <a:rPr lang="en-US" sz="1100" baseline="0">
              <a:solidFill>
                <a:srgbClr val="0070C0"/>
              </a:solidFill>
              <a:latin typeface="Aptos" panose="020B0004020202020204" pitchFamily="34" charset="0"/>
            </a:rPr>
            <a:t> Intelligence</a:t>
          </a:r>
          <a:r>
            <a:rPr lang="en-US" sz="1100">
              <a:solidFill>
                <a:sysClr val="windowText" lastClr="000000"/>
              </a:solidFill>
              <a:latin typeface="Aptos" panose="020B0004020202020204" pitchFamily="34" charset="0"/>
            </a:rPr>
            <a:t>]</a:t>
          </a:r>
        </a:p>
      </xdr:txBody>
    </xdr:sp>
    <xdr:clientData/>
  </xdr:twoCellAnchor>
  <xdr:twoCellAnchor>
    <xdr:from>
      <xdr:col>3</xdr:col>
      <xdr:colOff>361950</xdr:colOff>
      <xdr:row>127</xdr:row>
      <xdr:rowOff>171450</xdr:rowOff>
    </xdr:from>
    <xdr:to>
      <xdr:col>6</xdr:col>
      <xdr:colOff>9525</xdr:colOff>
      <xdr:row>129</xdr:row>
      <xdr:rowOff>47626</xdr:rowOff>
    </xdr:to>
    <xdr:sp macro="" textlink="">
      <xdr:nvSpPr>
        <xdr:cNvPr id="24" name="TextBox 23">
          <a:hlinkClick xmlns:r="http://schemas.openxmlformats.org/officeDocument/2006/relationships" r:id="rId13"/>
          <a:extLst>
            <a:ext uri="{FF2B5EF4-FFF2-40B4-BE49-F238E27FC236}">
              <a16:creationId xmlns:a16="http://schemas.microsoft.com/office/drawing/2014/main" id="{00000000-0008-0000-0700-000018000000}"/>
            </a:ext>
          </a:extLst>
        </xdr:cNvPr>
        <xdr:cNvSpPr txBox="1"/>
      </xdr:nvSpPr>
      <xdr:spPr>
        <a:xfrm>
          <a:off x="1952625" y="24555450"/>
          <a:ext cx="147637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t>
          </a:r>
          <a:r>
            <a:rPr lang="en-US" sz="1100">
              <a:solidFill>
                <a:srgbClr val="0070C0"/>
              </a:solidFill>
              <a:latin typeface="Aptos" panose="020B0004020202020204" pitchFamily="34" charset="0"/>
            </a:rPr>
            <a:t>Mordor</a:t>
          </a:r>
          <a:r>
            <a:rPr lang="en-US" sz="1100" baseline="0">
              <a:solidFill>
                <a:srgbClr val="0070C0"/>
              </a:solidFill>
              <a:latin typeface="Aptos" panose="020B0004020202020204" pitchFamily="34" charset="0"/>
            </a:rPr>
            <a:t> Intelligence</a:t>
          </a:r>
          <a:r>
            <a:rPr lang="en-US" sz="1100">
              <a:solidFill>
                <a:sysClr val="windowText" lastClr="000000"/>
              </a:solidFill>
              <a:latin typeface="Aptos" panose="020B0004020202020204" pitchFamily="34" charset="0"/>
            </a:rPr>
            <a:t>]</a:t>
          </a:r>
        </a:p>
      </xdr:txBody>
    </xdr:sp>
    <xdr:clientData/>
  </xdr:twoCellAnchor>
  <xdr:twoCellAnchor>
    <xdr:from>
      <xdr:col>9</xdr:col>
      <xdr:colOff>104775</xdr:colOff>
      <xdr:row>147</xdr:row>
      <xdr:rowOff>161925</xdr:rowOff>
    </xdr:from>
    <xdr:to>
      <xdr:col>12</xdr:col>
      <xdr:colOff>333375</xdr:colOff>
      <xdr:row>149</xdr:row>
      <xdr:rowOff>38101</xdr:rowOff>
    </xdr:to>
    <xdr:sp macro="" textlink="">
      <xdr:nvSpPr>
        <xdr:cNvPr id="25" name="TextBox 24">
          <a:hlinkClick xmlns:r="http://schemas.openxmlformats.org/officeDocument/2006/relationships" r:id="rId14"/>
          <a:extLst>
            <a:ext uri="{FF2B5EF4-FFF2-40B4-BE49-F238E27FC236}">
              <a16:creationId xmlns:a16="http://schemas.microsoft.com/office/drawing/2014/main" id="{00000000-0008-0000-0700-000019000000}"/>
            </a:ext>
          </a:extLst>
        </xdr:cNvPr>
        <xdr:cNvSpPr txBox="1"/>
      </xdr:nvSpPr>
      <xdr:spPr>
        <a:xfrm>
          <a:off x="5353050" y="28365450"/>
          <a:ext cx="2057400"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t>
          </a:r>
          <a:r>
            <a:rPr lang="en-US" sz="1100">
              <a:solidFill>
                <a:srgbClr val="0070C0"/>
              </a:solidFill>
              <a:latin typeface="Aptos" panose="020B0004020202020204" pitchFamily="34" charset="0"/>
            </a:rPr>
            <a:t>Persistence Market Research</a:t>
          </a:r>
          <a:r>
            <a:rPr lang="en-US" sz="1100">
              <a:solidFill>
                <a:sysClr val="windowText" lastClr="000000"/>
              </a:solidFill>
              <a:latin typeface="Aptos" panose="020B0004020202020204" pitchFamily="34" charset="0"/>
            </a:rPr>
            <a:t>]</a:t>
          </a:r>
        </a:p>
      </xdr:txBody>
    </xdr:sp>
    <xdr:clientData/>
  </xdr:twoCellAnchor>
  <xdr:twoCellAnchor>
    <xdr:from>
      <xdr:col>4</xdr:col>
      <xdr:colOff>38100</xdr:colOff>
      <xdr:row>173</xdr:row>
      <xdr:rowOff>161925</xdr:rowOff>
    </xdr:from>
    <xdr:to>
      <xdr:col>7</xdr:col>
      <xdr:colOff>85725</xdr:colOff>
      <xdr:row>175</xdr:row>
      <xdr:rowOff>1</xdr:rowOff>
    </xdr:to>
    <xdr:sp macro="" textlink="">
      <xdr:nvSpPr>
        <xdr:cNvPr id="26" name="TextBox 25">
          <a:hlinkClick xmlns:r="http://schemas.openxmlformats.org/officeDocument/2006/relationships" r:id="rId15"/>
          <a:extLst>
            <a:ext uri="{FF2B5EF4-FFF2-40B4-BE49-F238E27FC236}">
              <a16:creationId xmlns:a16="http://schemas.microsoft.com/office/drawing/2014/main" id="{00000000-0008-0000-0700-00001A000000}"/>
            </a:ext>
          </a:extLst>
        </xdr:cNvPr>
        <xdr:cNvSpPr txBox="1"/>
      </xdr:nvSpPr>
      <xdr:spPr>
        <a:xfrm>
          <a:off x="2238375" y="33327975"/>
          <a:ext cx="187642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a:solidFill>
                <a:sysClr val="windowText" lastClr="000000"/>
              </a:solidFill>
              <a:latin typeface="Aptos" panose="020B0004020202020204" pitchFamily="34" charset="0"/>
            </a:rPr>
            <a:t>[</a:t>
          </a:r>
          <a:r>
            <a:rPr lang="en-US" sz="1400">
              <a:solidFill>
                <a:srgbClr val="0070C0"/>
              </a:solidFill>
              <a:latin typeface="Aptos" panose="020B0004020202020204" pitchFamily="34" charset="0"/>
            </a:rPr>
            <a:t>Mordor</a:t>
          </a:r>
          <a:r>
            <a:rPr lang="en-US" sz="1400" baseline="0">
              <a:solidFill>
                <a:srgbClr val="0070C0"/>
              </a:solidFill>
              <a:latin typeface="Aptos" panose="020B0004020202020204" pitchFamily="34" charset="0"/>
            </a:rPr>
            <a:t> Intelligence</a:t>
          </a:r>
          <a:r>
            <a:rPr lang="en-US" sz="1400">
              <a:solidFill>
                <a:sysClr val="windowText" lastClr="000000"/>
              </a:solidFill>
              <a:latin typeface="Aptos" panose="020B0004020202020204" pitchFamily="34" charset="0"/>
            </a:rPr>
            <a:t>]</a:t>
          </a:r>
        </a:p>
      </xdr:txBody>
    </xdr:sp>
    <xdr:clientData/>
  </xdr:twoCellAnchor>
  <xdr:twoCellAnchor>
    <xdr:from>
      <xdr:col>6</xdr:col>
      <xdr:colOff>152400</xdr:colOff>
      <xdr:row>200</xdr:row>
      <xdr:rowOff>161925</xdr:rowOff>
    </xdr:from>
    <xdr:to>
      <xdr:col>8</xdr:col>
      <xdr:colOff>409575</xdr:colOff>
      <xdr:row>202</xdr:row>
      <xdr:rowOff>38101</xdr:rowOff>
    </xdr:to>
    <xdr:sp macro="" textlink="">
      <xdr:nvSpPr>
        <xdr:cNvPr id="27" name="TextBox 26">
          <a:hlinkClick xmlns:r="http://schemas.openxmlformats.org/officeDocument/2006/relationships" r:id="rId15"/>
          <a:extLst>
            <a:ext uri="{FF2B5EF4-FFF2-40B4-BE49-F238E27FC236}">
              <a16:creationId xmlns:a16="http://schemas.microsoft.com/office/drawing/2014/main" id="{00000000-0008-0000-0700-00001B000000}"/>
            </a:ext>
          </a:extLst>
        </xdr:cNvPr>
        <xdr:cNvSpPr txBox="1"/>
      </xdr:nvSpPr>
      <xdr:spPr>
        <a:xfrm>
          <a:off x="3571875" y="38519100"/>
          <a:ext cx="147637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t>
          </a:r>
          <a:r>
            <a:rPr lang="en-US" sz="1100">
              <a:solidFill>
                <a:srgbClr val="0070C0"/>
              </a:solidFill>
              <a:latin typeface="Aptos" panose="020B0004020202020204" pitchFamily="34" charset="0"/>
            </a:rPr>
            <a:t>Mordor</a:t>
          </a:r>
          <a:r>
            <a:rPr lang="en-US" sz="1100" baseline="0">
              <a:solidFill>
                <a:srgbClr val="0070C0"/>
              </a:solidFill>
              <a:latin typeface="Aptos" panose="020B0004020202020204" pitchFamily="34" charset="0"/>
            </a:rPr>
            <a:t> Intelligence</a:t>
          </a:r>
          <a:r>
            <a:rPr lang="en-US" sz="1100">
              <a:solidFill>
                <a:sysClr val="windowText" lastClr="000000"/>
              </a:solidFill>
              <a:latin typeface="Aptos" panose="020B0004020202020204" pitchFamily="34" charset="0"/>
            </a:rPr>
            <a:t>]</a:t>
          </a:r>
        </a:p>
      </xdr:txBody>
    </xdr:sp>
    <xdr:clientData/>
  </xdr:twoCellAnchor>
  <xdr:twoCellAnchor>
    <xdr:from>
      <xdr:col>6</xdr:col>
      <xdr:colOff>390525</xdr:colOff>
      <xdr:row>215</xdr:row>
      <xdr:rowOff>161925</xdr:rowOff>
    </xdr:from>
    <xdr:to>
      <xdr:col>9</xdr:col>
      <xdr:colOff>38100</xdr:colOff>
      <xdr:row>217</xdr:row>
      <xdr:rowOff>38101</xdr:rowOff>
    </xdr:to>
    <xdr:sp macro="" textlink="">
      <xdr:nvSpPr>
        <xdr:cNvPr id="28" name="TextBox 27">
          <a:hlinkClick xmlns:r="http://schemas.openxmlformats.org/officeDocument/2006/relationships" r:id="rId15"/>
          <a:extLst>
            <a:ext uri="{FF2B5EF4-FFF2-40B4-BE49-F238E27FC236}">
              <a16:creationId xmlns:a16="http://schemas.microsoft.com/office/drawing/2014/main" id="{00000000-0008-0000-0700-00001C000000}"/>
            </a:ext>
          </a:extLst>
        </xdr:cNvPr>
        <xdr:cNvSpPr txBox="1"/>
      </xdr:nvSpPr>
      <xdr:spPr>
        <a:xfrm>
          <a:off x="3810000" y="41386125"/>
          <a:ext cx="147637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t>
          </a:r>
          <a:r>
            <a:rPr lang="en-US" sz="1100">
              <a:solidFill>
                <a:srgbClr val="0070C0"/>
              </a:solidFill>
              <a:latin typeface="Aptos" panose="020B0004020202020204" pitchFamily="34" charset="0"/>
            </a:rPr>
            <a:t>Mordor</a:t>
          </a:r>
          <a:r>
            <a:rPr lang="en-US" sz="1100" baseline="0">
              <a:solidFill>
                <a:srgbClr val="0070C0"/>
              </a:solidFill>
              <a:latin typeface="Aptos" panose="020B0004020202020204" pitchFamily="34" charset="0"/>
            </a:rPr>
            <a:t> Intelligence</a:t>
          </a:r>
          <a:r>
            <a:rPr lang="en-US" sz="1100">
              <a:solidFill>
                <a:sysClr val="windowText" lastClr="000000"/>
              </a:solidFill>
              <a:latin typeface="Aptos" panose="020B0004020202020204" pitchFamily="34" charset="0"/>
            </a:rPr>
            <a:t>]</a:t>
          </a:r>
        </a:p>
      </xdr:txBody>
    </xdr:sp>
    <xdr:clientData/>
  </xdr:twoCellAnchor>
  <xdr:twoCellAnchor>
    <xdr:from>
      <xdr:col>3</xdr:col>
      <xdr:colOff>352425</xdr:colOff>
      <xdr:row>233</xdr:row>
      <xdr:rowOff>161925</xdr:rowOff>
    </xdr:from>
    <xdr:to>
      <xdr:col>6</xdr:col>
      <xdr:colOff>0</xdr:colOff>
      <xdr:row>235</xdr:row>
      <xdr:rowOff>38101</xdr:rowOff>
    </xdr:to>
    <xdr:sp macro="" textlink="">
      <xdr:nvSpPr>
        <xdr:cNvPr id="29" name="TextBox 28">
          <a:hlinkClick xmlns:r="http://schemas.openxmlformats.org/officeDocument/2006/relationships" r:id="rId15"/>
          <a:extLst>
            <a:ext uri="{FF2B5EF4-FFF2-40B4-BE49-F238E27FC236}">
              <a16:creationId xmlns:a16="http://schemas.microsoft.com/office/drawing/2014/main" id="{00000000-0008-0000-0700-00001D000000}"/>
            </a:ext>
          </a:extLst>
        </xdr:cNvPr>
        <xdr:cNvSpPr txBox="1"/>
      </xdr:nvSpPr>
      <xdr:spPr>
        <a:xfrm>
          <a:off x="1943100" y="44824650"/>
          <a:ext cx="147637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t>
          </a:r>
          <a:r>
            <a:rPr lang="en-US" sz="1100">
              <a:solidFill>
                <a:srgbClr val="0070C0"/>
              </a:solidFill>
              <a:latin typeface="Aptos" panose="020B0004020202020204" pitchFamily="34" charset="0"/>
            </a:rPr>
            <a:t>Mordor</a:t>
          </a:r>
          <a:r>
            <a:rPr lang="en-US" sz="1100" baseline="0">
              <a:solidFill>
                <a:srgbClr val="0070C0"/>
              </a:solidFill>
              <a:latin typeface="Aptos" panose="020B0004020202020204" pitchFamily="34" charset="0"/>
            </a:rPr>
            <a:t> Intelligence</a:t>
          </a:r>
          <a:r>
            <a:rPr lang="en-US" sz="1100">
              <a:solidFill>
                <a:sysClr val="windowText" lastClr="000000"/>
              </a:solidFill>
              <a:latin typeface="Aptos" panose="020B0004020202020204" pitchFamily="34" charset="0"/>
            </a:rPr>
            <a:t>]</a:t>
          </a:r>
        </a:p>
      </xdr:txBody>
    </xdr:sp>
    <xdr:clientData/>
  </xdr:twoCellAnchor>
  <xdr:twoCellAnchor>
    <xdr:from>
      <xdr:col>3</xdr:col>
      <xdr:colOff>438150</xdr:colOff>
      <xdr:row>6</xdr:row>
      <xdr:rowOff>114300</xdr:rowOff>
    </xdr:from>
    <xdr:to>
      <xdr:col>6</xdr:col>
      <xdr:colOff>238125</xdr:colOff>
      <xdr:row>8</xdr:row>
      <xdr:rowOff>1</xdr:rowOff>
    </xdr:to>
    <xdr:sp macro="" textlink="">
      <xdr:nvSpPr>
        <xdr:cNvPr id="11" name="TextBox 10">
          <a:hlinkClick xmlns:r="http://schemas.openxmlformats.org/officeDocument/2006/relationships" r:id="rId16"/>
          <a:extLst>
            <a:ext uri="{FF2B5EF4-FFF2-40B4-BE49-F238E27FC236}">
              <a16:creationId xmlns:a16="http://schemas.microsoft.com/office/drawing/2014/main" id="{00000000-0008-0000-0700-00000B000000}"/>
            </a:ext>
          </a:extLst>
        </xdr:cNvPr>
        <xdr:cNvSpPr txBox="1"/>
      </xdr:nvSpPr>
      <xdr:spPr>
        <a:xfrm>
          <a:off x="2028825" y="1304925"/>
          <a:ext cx="162877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t>
          </a:r>
          <a:r>
            <a:rPr lang="en-US" sz="1100">
              <a:solidFill>
                <a:srgbClr val="0070C0"/>
              </a:solidFill>
              <a:latin typeface="Aptos" panose="020B0004020202020204" pitchFamily="34" charset="0"/>
            </a:rPr>
            <a:t>Morgan Stanley Study</a:t>
          </a:r>
          <a:r>
            <a:rPr lang="en-US" sz="1100">
              <a:solidFill>
                <a:sysClr val="windowText" lastClr="000000"/>
              </a:solidFill>
              <a:latin typeface="Aptos" panose="020B0004020202020204" pitchFamily="34" charset="0"/>
            </a:rPr>
            <a:t>],</a:t>
          </a:r>
        </a:p>
      </xdr:txBody>
    </xdr:sp>
    <xdr:clientData/>
  </xdr:twoCellAnchor>
  <xdr:twoCellAnchor>
    <xdr:from>
      <xdr:col>0</xdr:col>
      <xdr:colOff>295275</xdr:colOff>
      <xdr:row>6</xdr:row>
      <xdr:rowOff>123826</xdr:rowOff>
    </xdr:from>
    <xdr:to>
      <xdr:col>4</xdr:col>
      <xdr:colOff>9525</xdr:colOff>
      <xdr:row>8</xdr:row>
      <xdr:rowOff>9527</xdr:rowOff>
    </xdr:to>
    <xdr:sp macro="" textlink="">
      <xdr:nvSpPr>
        <xdr:cNvPr id="12" name="TextBox 11">
          <a:extLst>
            <a:ext uri="{FF2B5EF4-FFF2-40B4-BE49-F238E27FC236}">
              <a16:creationId xmlns:a16="http://schemas.microsoft.com/office/drawing/2014/main" id="{00000000-0008-0000-0700-00000C000000}"/>
            </a:ext>
          </a:extLst>
        </xdr:cNvPr>
        <xdr:cNvSpPr txBox="1"/>
      </xdr:nvSpPr>
      <xdr:spPr>
        <a:xfrm>
          <a:off x="295275" y="1314451"/>
          <a:ext cx="191452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According to Morgan Stanley</a:t>
          </a:r>
        </a:p>
      </xdr:txBody>
    </xdr:sp>
    <xdr:clientData/>
  </xdr:twoCellAnchor>
  <xdr:twoCellAnchor>
    <xdr:from>
      <xdr:col>6</xdr:col>
      <xdr:colOff>57151</xdr:colOff>
      <xdr:row>6</xdr:row>
      <xdr:rowOff>123826</xdr:rowOff>
    </xdr:from>
    <xdr:to>
      <xdr:col>26</xdr:col>
      <xdr:colOff>476251</xdr:colOff>
      <xdr:row>8</xdr:row>
      <xdr:rowOff>9527</xdr:rowOff>
    </xdr:to>
    <xdr:sp macro="" textlink="">
      <xdr:nvSpPr>
        <xdr:cNvPr id="13" name="TextBox 12">
          <a:extLst>
            <a:ext uri="{FF2B5EF4-FFF2-40B4-BE49-F238E27FC236}">
              <a16:creationId xmlns:a16="http://schemas.microsoft.com/office/drawing/2014/main" id="{00000000-0008-0000-0700-00000D000000}"/>
            </a:ext>
          </a:extLst>
        </xdr:cNvPr>
        <xdr:cNvSpPr txBox="1"/>
      </xdr:nvSpPr>
      <xdr:spPr>
        <a:xfrm>
          <a:off x="3476626" y="1314451"/>
          <a:ext cx="12611100"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the Urban Air Mobility TAM base case to $1 Trillion by 2040, but rolls out projections until 2050, when the TAM is projected to be $9 Trillion. We don’t think investors are prepared for the scope of this revolution. </a:t>
          </a:r>
        </a:p>
      </xdr:txBody>
    </xdr:sp>
    <xdr:clientData/>
  </xdr:twoCellAnchor>
  <xdr:twoCellAnchor>
    <xdr:from>
      <xdr:col>2</xdr:col>
      <xdr:colOff>609599</xdr:colOff>
      <xdr:row>24</xdr:row>
      <xdr:rowOff>0</xdr:rowOff>
    </xdr:from>
    <xdr:to>
      <xdr:col>4</xdr:col>
      <xdr:colOff>609599</xdr:colOff>
      <xdr:row>25</xdr:row>
      <xdr:rowOff>76201</xdr:rowOff>
    </xdr:to>
    <xdr:sp macro="" textlink="">
      <xdr:nvSpPr>
        <xdr:cNvPr id="30" name="TextBox 29">
          <a:hlinkClick xmlns:r="http://schemas.openxmlformats.org/officeDocument/2006/relationships" r:id="rId17"/>
          <a:extLst>
            <a:ext uri="{FF2B5EF4-FFF2-40B4-BE49-F238E27FC236}">
              <a16:creationId xmlns:a16="http://schemas.microsoft.com/office/drawing/2014/main" id="{00000000-0008-0000-0700-00001E000000}"/>
            </a:ext>
          </a:extLst>
        </xdr:cNvPr>
        <xdr:cNvSpPr txBox="1"/>
      </xdr:nvSpPr>
      <xdr:spPr>
        <a:xfrm>
          <a:off x="1590674" y="4619625"/>
          <a:ext cx="1219200"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t>
          </a:r>
          <a:r>
            <a:rPr lang="en-US" sz="1100">
              <a:solidFill>
                <a:srgbClr val="0070C0"/>
              </a:solidFill>
              <a:latin typeface="Aptos" panose="020B0004020202020204" pitchFamily="34" charset="0"/>
            </a:rPr>
            <a:t>Deloitte Study</a:t>
          </a:r>
          <a:r>
            <a:rPr lang="en-US" sz="1100">
              <a:solidFill>
                <a:sysClr val="windowText" lastClr="000000"/>
              </a:solidFill>
              <a:latin typeface="Aptos" panose="020B0004020202020204" pitchFamily="34" charset="0"/>
            </a:rPr>
            <a:t>],</a:t>
          </a:r>
        </a:p>
      </xdr:txBody>
    </xdr:sp>
    <xdr:clientData/>
  </xdr:twoCellAnchor>
  <xdr:twoCellAnchor>
    <xdr:from>
      <xdr:col>0</xdr:col>
      <xdr:colOff>314325</xdr:colOff>
      <xdr:row>24</xdr:row>
      <xdr:rowOff>9525</xdr:rowOff>
    </xdr:from>
    <xdr:to>
      <xdr:col>3</xdr:col>
      <xdr:colOff>190500</xdr:colOff>
      <xdr:row>25</xdr:row>
      <xdr:rowOff>85726</xdr:rowOff>
    </xdr:to>
    <xdr:sp macro="" textlink="">
      <xdr:nvSpPr>
        <xdr:cNvPr id="31" name="TextBox 30">
          <a:extLst>
            <a:ext uri="{FF2B5EF4-FFF2-40B4-BE49-F238E27FC236}">
              <a16:creationId xmlns:a16="http://schemas.microsoft.com/office/drawing/2014/main" id="{00000000-0008-0000-0700-00001F000000}"/>
            </a:ext>
          </a:extLst>
        </xdr:cNvPr>
        <xdr:cNvSpPr txBox="1"/>
      </xdr:nvSpPr>
      <xdr:spPr>
        <a:xfrm>
          <a:off x="314325" y="4629150"/>
          <a:ext cx="1466850"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According to Deloitte</a:t>
          </a:r>
        </a:p>
      </xdr:txBody>
    </xdr:sp>
    <xdr:clientData/>
  </xdr:twoCellAnchor>
  <xdr:twoCellAnchor>
    <xdr:from>
      <xdr:col>4</xdr:col>
      <xdr:colOff>400048</xdr:colOff>
      <xdr:row>24</xdr:row>
      <xdr:rowOff>0</xdr:rowOff>
    </xdr:from>
    <xdr:to>
      <xdr:col>11</xdr:col>
      <xdr:colOff>104773</xdr:colOff>
      <xdr:row>25</xdr:row>
      <xdr:rowOff>76201</xdr:rowOff>
    </xdr:to>
    <xdr:sp macro="" textlink="">
      <xdr:nvSpPr>
        <xdr:cNvPr id="32" name="TextBox 31">
          <a:extLst>
            <a:ext uri="{FF2B5EF4-FFF2-40B4-BE49-F238E27FC236}">
              <a16:creationId xmlns:a16="http://schemas.microsoft.com/office/drawing/2014/main" id="{00000000-0008-0000-0700-000020000000}"/>
            </a:ext>
          </a:extLst>
        </xdr:cNvPr>
        <xdr:cNvSpPr txBox="1"/>
      </xdr:nvSpPr>
      <xdr:spPr>
        <a:xfrm>
          <a:off x="2600323" y="4619625"/>
          <a:ext cx="397192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ysClr val="windowText" lastClr="000000"/>
              </a:solidFill>
              <a:latin typeface="Aptos" panose="020B0004020202020204" pitchFamily="34" charset="0"/>
            </a:rPr>
            <a:t>AAM market poised to grow sevenfold between 2025 and 2035.</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16</xdr:col>
      <xdr:colOff>76200</xdr:colOff>
      <xdr:row>1</xdr:row>
      <xdr:rowOff>95250</xdr:rowOff>
    </xdr:from>
    <xdr:to>
      <xdr:col>21</xdr:col>
      <xdr:colOff>219075</xdr:colOff>
      <xdr:row>20</xdr:row>
      <xdr:rowOff>96349</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29800" y="1809750"/>
          <a:ext cx="7772400" cy="366822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5</xdr:col>
      <xdr:colOff>476250</xdr:colOff>
      <xdr:row>8</xdr:row>
      <xdr:rowOff>40481</xdr:rowOff>
    </xdr:from>
    <xdr:to>
      <xdr:col>9</xdr:col>
      <xdr:colOff>409575</xdr:colOff>
      <xdr:row>17</xdr:row>
      <xdr:rowOff>104775</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0" y="1726406"/>
          <a:ext cx="2371725" cy="177879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6</xdr:col>
      <xdr:colOff>79710</xdr:colOff>
      <xdr:row>23</xdr:row>
      <xdr:rowOff>19051</xdr:rowOff>
    </xdr:from>
    <xdr:to>
      <xdr:col>12</xdr:col>
      <xdr:colOff>409575</xdr:colOff>
      <xdr:row>35</xdr:row>
      <xdr:rowOff>76200</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37310" y="4562476"/>
          <a:ext cx="3987465" cy="234314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285749</xdr:colOff>
      <xdr:row>79</xdr:row>
      <xdr:rowOff>47624</xdr:rowOff>
    </xdr:from>
    <xdr:to>
      <xdr:col>11</xdr:col>
      <xdr:colOff>218224</xdr:colOff>
      <xdr:row>97</xdr:row>
      <xdr:rowOff>161925</xdr:rowOff>
    </xdr:to>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114549" y="12477749"/>
          <a:ext cx="4809275" cy="359092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16</xdr:col>
      <xdr:colOff>0</xdr:colOff>
      <xdr:row>22</xdr:row>
      <xdr:rowOff>0</xdr:rowOff>
    </xdr:from>
    <xdr:to>
      <xdr:col>21</xdr:col>
      <xdr:colOff>142875</xdr:colOff>
      <xdr:row>47</xdr:row>
      <xdr:rowOff>133831</xdr:rowOff>
    </xdr:to>
    <xdr:pic>
      <xdr:nvPicPr>
        <xdr:cNvPr id="11" name="Picture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753600" y="4238625"/>
          <a:ext cx="7772400" cy="489633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323850</xdr:colOff>
      <xdr:row>107</xdr:row>
      <xdr:rowOff>76200</xdr:rowOff>
    </xdr:from>
    <xdr:to>
      <xdr:col>11</xdr:col>
      <xdr:colOff>171462</xdr:colOff>
      <xdr:row>121</xdr:row>
      <xdr:rowOff>63632</xdr:rowOff>
    </xdr:to>
    <xdr:pic>
      <xdr:nvPicPr>
        <xdr:cNvPr id="13" name="Picture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33450" y="13839825"/>
          <a:ext cx="5943612" cy="2702057"/>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276225</xdr:colOff>
      <xdr:row>11</xdr:row>
      <xdr:rowOff>57150</xdr:rowOff>
    </xdr:from>
    <xdr:to>
      <xdr:col>5</xdr:col>
      <xdr:colOff>8001</xdr:colOff>
      <xdr:row>17</xdr:row>
      <xdr:rowOff>84582</xdr:rowOff>
    </xdr:to>
    <xdr:pic>
      <xdr:nvPicPr>
        <xdr:cNvPr id="15" name="Picture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95425" y="2200275"/>
          <a:ext cx="1560576" cy="117043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9</xdr:col>
      <xdr:colOff>590550</xdr:colOff>
      <xdr:row>4</xdr:row>
      <xdr:rowOff>38099</xdr:rowOff>
    </xdr:from>
    <xdr:to>
      <xdr:col>14</xdr:col>
      <xdr:colOff>20003</xdr:colOff>
      <xdr:row>17</xdr:row>
      <xdr:rowOff>152400</xdr:rowOff>
    </xdr:to>
    <xdr:pic>
      <xdr:nvPicPr>
        <xdr:cNvPr id="17" name="Picture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76950" y="847724"/>
          <a:ext cx="2477453" cy="259080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447675</xdr:colOff>
      <xdr:row>38</xdr:row>
      <xdr:rowOff>123825</xdr:rowOff>
    </xdr:from>
    <xdr:to>
      <xdr:col>12</xdr:col>
      <xdr:colOff>257175</xdr:colOff>
      <xdr:row>51</xdr:row>
      <xdr:rowOff>31172</xdr:rowOff>
    </xdr:to>
    <xdr:pic>
      <xdr:nvPicPr>
        <xdr:cNvPr id="19" name="Picture 18">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57275" y="7410450"/>
          <a:ext cx="6515100" cy="243147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47625</xdr:colOff>
      <xdr:row>122</xdr:row>
      <xdr:rowOff>114300</xdr:rowOff>
    </xdr:from>
    <xdr:to>
      <xdr:col>14</xdr:col>
      <xdr:colOff>197009</xdr:colOff>
      <xdr:row>151</xdr:row>
      <xdr:rowOff>142874</xdr:rowOff>
    </xdr:to>
    <xdr:pic>
      <xdr:nvPicPr>
        <xdr:cNvPr id="21" name="Picture 20">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57225" y="23545800"/>
          <a:ext cx="8074184" cy="555307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16</xdr:col>
      <xdr:colOff>285750</xdr:colOff>
      <xdr:row>87</xdr:row>
      <xdr:rowOff>85725</xdr:rowOff>
    </xdr:from>
    <xdr:to>
      <xdr:col>19</xdr:col>
      <xdr:colOff>1609725</xdr:colOff>
      <xdr:row>100</xdr:row>
      <xdr:rowOff>40697</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039350" y="16802100"/>
          <a:ext cx="6515100" cy="243147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16</xdr:col>
      <xdr:colOff>304800</xdr:colOff>
      <xdr:row>103</xdr:row>
      <xdr:rowOff>66675</xdr:rowOff>
    </xdr:from>
    <xdr:to>
      <xdr:col>19</xdr:col>
      <xdr:colOff>934262</xdr:colOff>
      <xdr:row>109</xdr:row>
      <xdr:rowOff>114466</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1"/>
        <a:stretch>
          <a:fillRect/>
        </a:stretch>
      </xdr:blipFill>
      <xdr:spPr>
        <a:xfrm>
          <a:off x="10058400" y="19640550"/>
          <a:ext cx="5820587" cy="119079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16</xdr:col>
      <xdr:colOff>560179</xdr:colOff>
      <xdr:row>119</xdr:row>
      <xdr:rowOff>19050</xdr:rowOff>
    </xdr:from>
    <xdr:to>
      <xdr:col>19</xdr:col>
      <xdr:colOff>955141</xdr:colOff>
      <xdr:row>128</xdr:row>
      <xdr:rowOff>57395</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a:xfrm>
          <a:off x="10313779" y="22688550"/>
          <a:ext cx="5586087" cy="175284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16</xdr:col>
      <xdr:colOff>295275</xdr:colOff>
      <xdr:row>132</xdr:row>
      <xdr:rowOff>66675</xdr:rowOff>
    </xdr:from>
    <xdr:to>
      <xdr:col>19</xdr:col>
      <xdr:colOff>1191475</xdr:colOff>
      <xdr:row>136</xdr:row>
      <xdr:rowOff>171571</xdr:rowOff>
    </xdr:to>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13"/>
        <a:stretch>
          <a:fillRect/>
        </a:stretch>
      </xdr:blipFill>
      <xdr:spPr>
        <a:xfrm>
          <a:off x="10048875" y="25212675"/>
          <a:ext cx="6087325" cy="866896"/>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10</xdr:col>
      <xdr:colOff>171450</xdr:colOff>
      <xdr:row>0</xdr:row>
      <xdr:rowOff>133350</xdr:rowOff>
    </xdr:from>
    <xdr:to>
      <xdr:col>14</xdr:col>
      <xdr:colOff>444875</xdr:colOff>
      <xdr:row>2</xdr:row>
      <xdr:rowOff>43702</xdr:rowOff>
    </xdr:to>
    <xdr:sp macro="" textlink="">
      <xdr:nvSpPr>
        <xdr:cNvPr id="10" name="TextBox 9">
          <a:hlinkClick xmlns:r="http://schemas.openxmlformats.org/officeDocument/2006/relationships" r:id="rId14"/>
          <a:extLst>
            <a:ext uri="{FF2B5EF4-FFF2-40B4-BE49-F238E27FC236}">
              <a16:creationId xmlns:a16="http://schemas.microsoft.com/office/drawing/2014/main" id="{00000000-0008-0000-0800-00000A000000}"/>
            </a:ext>
          </a:extLst>
        </xdr:cNvPr>
        <xdr:cNvSpPr txBox="1"/>
      </xdr:nvSpPr>
      <xdr:spPr>
        <a:xfrm>
          <a:off x="6267450" y="133350"/>
          <a:ext cx="2711825" cy="291352"/>
        </a:xfrm>
        <a:prstGeom prst="rect">
          <a:avLst/>
        </a:prstGeom>
        <a:solidFill>
          <a:schemeClr val="accent1">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latin typeface="Aptos" panose="020B0004020202020204" pitchFamily="34" charset="0"/>
            </a:rPr>
            <a:t>Return to Introduction Tab</a:t>
          </a:r>
        </a:p>
      </xdr:txBody>
    </xdr:sp>
    <xdr:clientData/>
  </xdr:twoCellAnchor>
  <xdr:twoCellAnchor editAs="oneCell">
    <xdr:from>
      <xdr:col>2</xdr:col>
      <xdr:colOff>0</xdr:colOff>
      <xdr:row>56</xdr:row>
      <xdr:rowOff>0</xdr:rowOff>
    </xdr:from>
    <xdr:to>
      <xdr:col>10</xdr:col>
      <xdr:colOff>438150</xdr:colOff>
      <xdr:row>73</xdr:row>
      <xdr:rowOff>11130</xdr:rowOff>
    </xdr:to>
    <xdr:pic>
      <xdr:nvPicPr>
        <xdr:cNvPr id="12" name="Picture 11">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19200" y="10763250"/>
          <a:ext cx="5314950" cy="324963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47625</xdr:colOff>
      <xdr:row>101</xdr:row>
      <xdr:rowOff>180975</xdr:rowOff>
    </xdr:from>
    <xdr:to>
      <xdr:col>17</xdr:col>
      <xdr:colOff>2092701</xdr:colOff>
      <xdr:row>103</xdr:row>
      <xdr:rowOff>57150</xdr:rowOff>
    </xdr:to>
    <xdr:sp macro="" textlink="">
      <xdr:nvSpPr>
        <xdr:cNvPr id="14" name="TextBox 13">
          <a:hlinkClick xmlns:r="http://schemas.openxmlformats.org/officeDocument/2006/relationships" r:id="rId16"/>
          <a:extLst>
            <a:ext uri="{FF2B5EF4-FFF2-40B4-BE49-F238E27FC236}">
              <a16:creationId xmlns:a16="http://schemas.microsoft.com/office/drawing/2014/main" id="{00000000-0008-0000-0800-00000E000000}"/>
            </a:ext>
          </a:extLst>
        </xdr:cNvPr>
        <xdr:cNvSpPr txBox="1"/>
      </xdr:nvSpPr>
      <xdr:spPr>
        <a:xfrm>
          <a:off x="9801225" y="19564350"/>
          <a:ext cx="3045201"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0">
              <a:solidFill>
                <a:schemeClr val="accent1">
                  <a:lumMod val="75000"/>
                </a:schemeClr>
              </a:solidFill>
              <a:latin typeface="Aptos" panose="020B0004020202020204" pitchFamily="34" charset="0"/>
            </a:rPr>
            <a:t>Online Purchase Prices For Rotax Engines</a:t>
          </a:r>
        </a:p>
      </xdr:txBody>
    </xdr:sp>
    <xdr:clientData/>
  </xdr:twoCellAnchor>
  <xdr:twoCellAnchor>
    <xdr:from>
      <xdr:col>15</xdr:col>
      <xdr:colOff>409575</xdr:colOff>
      <xdr:row>114</xdr:row>
      <xdr:rowOff>114300</xdr:rowOff>
    </xdr:from>
    <xdr:to>
      <xdr:col>17</xdr:col>
      <xdr:colOff>1845051</xdr:colOff>
      <xdr:row>115</xdr:row>
      <xdr:rowOff>180975</xdr:rowOff>
    </xdr:to>
    <xdr:sp macro="" textlink="">
      <xdr:nvSpPr>
        <xdr:cNvPr id="16" name="TextBox 15">
          <a:hlinkClick xmlns:r="http://schemas.openxmlformats.org/officeDocument/2006/relationships" r:id="rId17"/>
          <a:extLst>
            <a:ext uri="{FF2B5EF4-FFF2-40B4-BE49-F238E27FC236}">
              <a16:creationId xmlns:a16="http://schemas.microsoft.com/office/drawing/2014/main" id="{00000000-0008-0000-0800-000010000000}"/>
            </a:ext>
          </a:extLst>
        </xdr:cNvPr>
        <xdr:cNvSpPr txBox="1"/>
      </xdr:nvSpPr>
      <xdr:spPr>
        <a:xfrm>
          <a:off x="9553575" y="22021800"/>
          <a:ext cx="3045201"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0">
              <a:solidFill>
                <a:schemeClr val="accent1">
                  <a:lumMod val="75000"/>
                </a:schemeClr>
              </a:solidFill>
              <a:latin typeface="Aptos" panose="020B0004020202020204" pitchFamily="34" charset="0"/>
            </a:rPr>
            <a:t>Outboard Motors Price Comparison</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4.xml"/><Relationship Id="rId1" Type="http://schemas.openxmlformats.org/officeDocument/2006/relationships/printerSettings" Target="../printerSettings/printerSettings7.bin"/><Relationship Id="rId4" Type="http://schemas.openxmlformats.org/officeDocument/2006/relationships/ctrlProp" Target="../ctrlProps/ctrlProp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vertex42.com/support.html" TargetMode="External"/><Relationship Id="rId2" Type="http://schemas.openxmlformats.org/officeDocument/2006/relationships/hyperlink" Target="https://www.vertex42.com/support.html" TargetMode="External"/><Relationship Id="rId1" Type="http://schemas.openxmlformats.org/officeDocument/2006/relationships/hyperlink" Target="https://www.vertex42.com/ExcelTemplates/gantt-chart-template-pro.html" TargetMode="External"/><Relationship Id="rId6" Type="http://schemas.openxmlformats.org/officeDocument/2006/relationships/drawing" Target="../drawings/drawing26.xml"/><Relationship Id="rId5" Type="http://schemas.openxmlformats.org/officeDocument/2006/relationships/printerSettings" Target="../printerSettings/printerSettings19.bin"/><Relationship Id="rId4" Type="http://schemas.openxmlformats.org/officeDocument/2006/relationships/hyperlink" Target="https://www.vertex42.com/blog/help/gantt-chart-help/gantt-chart-support.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ED518-3191-4EED-AC60-F1BBDA1E6898}">
  <sheetPr>
    <pageSetUpPr fitToPage="1"/>
  </sheetPr>
  <dimension ref="B1:AI505"/>
  <sheetViews>
    <sheetView tabSelected="1" zoomScale="85" zoomScaleNormal="85" workbookViewId="0">
      <selection activeCell="AI145" sqref="AI145"/>
    </sheetView>
  </sheetViews>
  <sheetFormatPr defaultColWidth="9.140625" defaultRowHeight="15.75" x14ac:dyDescent="0.25"/>
  <cols>
    <col min="1" max="16384" width="9.140625" style="204"/>
  </cols>
  <sheetData>
    <row r="1" spans="2:24" s="201" customFormat="1" x14ac:dyDescent="0.25"/>
    <row r="2" spans="2:24" s="201" customFormat="1" ht="21" x14ac:dyDescent="0.35">
      <c r="B2" s="205" t="s">
        <v>679</v>
      </c>
      <c r="X2" s="203" t="s">
        <v>678</v>
      </c>
    </row>
    <row r="3" spans="2:24" s="201" customFormat="1" x14ac:dyDescent="0.25">
      <c r="U3" s="202"/>
      <c r="X3" s="203"/>
    </row>
    <row r="4" spans="2:24" s="201" customFormat="1" x14ac:dyDescent="0.25">
      <c r="B4" s="201" t="s">
        <v>680</v>
      </c>
      <c r="X4" s="203"/>
    </row>
    <row r="5" spans="2:24" s="201" customFormat="1" x14ac:dyDescent="0.25"/>
    <row r="6" spans="2:24" s="201" customFormat="1" x14ac:dyDescent="0.25">
      <c r="B6" s="201" t="s">
        <v>681</v>
      </c>
    </row>
    <row r="7" spans="2:24" s="201" customFormat="1" x14ac:dyDescent="0.25">
      <c r="B7" s="201" t="s">
        <v>683</v>
      </c>
    </row>
    <row r="8" spans="2:24" s="201" customFormat="1" x14ac:dyDescent="0.25">
      <c r="B8" s="201" t="s">
        <v>1223</v>
      </c>
    </row>
    <row r="9" spans="2:24" s="201" customFormat="1" x14ac:dyDescent="0.25"/>
    <row r="10" spans="2:24" s="201" customFormat="1" x14ac:dyDescent="0.25">
      <c r="B10" s="201" t="s">
        <v>684</v>
      </c>
    </row>
    <row r="11" spans="2:24" s="201" customFormat="1" x14ac:dyDescent="0.25">
      <c r="B11" s="201" t="s">
        <v>685</v>
      </c>
    </row>
    <row r="12" spans="2:24" s="201" customFormat="1" x14ac:dyDescent="0.25"/>
    <row r="13" spans="2:24" s="201" customFormat="1" x14ac:dyDescent="0.25"/>
    <row r="14" spans="2:24" s="201" customFormat="1" x14ac:dyDescent="0.25"/>
    <row r="15" spans="2:24" s="201" customFormat="1" x14ac:dyDescent="0.25"/>
    <row r="16" spans="2:24" s="201" customFormat="1" x14ac:dyDescent="0.25"/>
    <row r="17" spans="2:2" s="201" customFormat="1" x14ac:dyDescent="0.25"/>
    <row r="18" spans="2:2" s="201" customFormat="1" x14ac:dyDescent="0.25"/>
    <row r="19" spans="2:2" s="201" customFormat="1" x14ac:dyDescent="0.25"/>
    <row r="20" spans="2:2" s="201" customFormat="1" x14ac:dyDescent="0.25"/>
    <row r="21" spans="2:2" s="201" customFormat="1" x14ac:dyDescent="0.25"/>
    <row r="22" spans="2:2" s="201" customFormat="1" x14ac:dyDescent="0.25"/>
    <row r="23" spans="2:2" s="201" customFormat="1" x14ac:dyDescent="0.25"/>
    <row r="24" spans="2:2" s="201" customFormat="1" x14ac:dyDescent="0.25"/>
    <row r="25" spans="2:2" s="201" customFormat="1" x14ac:dyDescent="0.25"/>
    <row r="26" spans="2:2" s="201" customFormat="1" x14ac:dyDescent="0.25"/>
    <row r="27" spans="2:2" s="201" customFormat="1" ht="21" x14ac:dyDescent="0.35">
      <c r="B27" s="205" t="s">
        <v>682</v>
      </c>
    </row>
    <row r="28" spans="2:2" s="201" customFormat="1" x14ac:dyDescent="0.25">
      <c r="B28" s="201" t="s">
        <v>683</v>
      </c>
    </row>
    <row r="29" spans="2:2" s="201" customFormat="1" x14ac:dyDescent="0.25">
      <c r="B29" s="201" t="s">
        <v>683</v>
      </c>
    </row>
    <row r="30" spans="2:2" s="201" customFormat="1" x14ac:dyDescent="0.25">
      <c r="B30" s="201" t="s">
        <v>686</v>
      </c>
    </row>
    <row r="31" spans="2:2" s="201" customFormat="1" x14ac:dyDescent="0.25">
      <c r="B31" s="201" t="s">
        <v>687</v>
      </c>
    </row>
    <row r="32" spans="2:2" s="201" customFormat="1" x14ac:dyDescent="0.25">
      <c r="B32" s="201" t="s">
        <v>688</v>
      </c>
    </row>
    <row r="33" spans="2:2" s="201" customFormat="1" x14ac:dyDescent="0.25"/>
    <row r="34" spans="2:2" s="201" customFormat="1" x14ac:dyDescent="0.25">
      <c r="B34" s="201" t="s">
        <v>690</v>
      </c>
    </row>
    <row r="35" spans="2:2" s="201" customFormat="1" x14ac:dyDescent="0.25">
      <c r="B35" s="141" t="s">
        <v>689</v>
      </c>
    </row>
    <row r="36" spans="2:2" s="201" customFormat="1" x14ac:dyDescent="0.25"/>
    <row r="37" spans="2:2" s="201" customFormat="1" x14ac:dyDescent="0.25">
      <c r="B37" s="201" t="s">
        <v>691</v>
      </c>
    </row>
    <row r="38" spans="2:2" s="201" customFormat="1" x14ac:dyDescent="0.25">
      <c r="B38" s="201" t="s">
        <v>692</v>
      </c>
    </row>
    <row r="39" spans="2:2" s="201" customFormat="1" x14ac:dyDescent="0.25">
      <c r="B39" s="201" t="s">
        <v>695</v>
      </c>
    </row>
    <row r="40" spans="2:2" s="201" customFormat="1" x14ac:dyDescent="0.25">
      <c r="B40" s="201" t="s">
        <v>696</v>
      </c>
    </row>
    <row r="41" spans="2:2" s="201" customFormat="1" x14ac:dyDescent="0.25">
      <c r="B41" s="201" t="s">
        <v>693</v>
      </c>
    </row>
    <row r="42" spans="2:2" s="201" customFormat="1" x14ac:dyDescent="0.25">
      <c r="B42" s="201" t="s">
        <v>694</v>
      </c>
    </row>
    <row r="43" spans="2:2" s="201" customFormat="1" x14ac:dyDescent="0.25"/>
    <row r="44" spans="2:2" s="201" customFormat="1" ht="21" x14ac:dyDescent="0.35">
      <c r="B44" s="205" t="s">
        <v>697</v>
      </c>
    </row>
    <row r="45" spans="2:2" s="201" customFormat="1" x14ac:dyDescent="0.25"/>
    <row r="46" spans="2:2" s="201" customFormat="1" x14ac:dyDescent="0.25">
      <c r="B46" s="201" t="s">
        <v>698</v>
      </c>
    </row>
    <row r="47" spans="2:2" s="201" customFormat="1" x14ac:dyDescent="0.25">
      <c r="B47" s="141" t="s">
        <v>699</v>
      </c>
    </row>
    <row r="48" spans="2:2" s="201" customFormat="1" x14ac:dyDescent="0.25">
      <c r="B48" s="201" t="s">
        <v>700</v>
      </c>
    </row>
    <row r="49" spans="2:2" s="201" customFormat="1" x14ac:dyDescent="0.25">
      <c r="B49" s="201" t="s">
        <v>701</v>
      </c>
    </row>
    <row r="50" spans="2:2" s="201" customFormat="1" x14ac:dyDescent="0.25">
      <c r="B50" s="201" t="s">
        <v>702</v>
      </c>
    </row>
    <row r="51" spans="2:2" s="201" customFormat="1" x14ac:dyDescent="0.25"/>
    <row r="52" spans="2:2" s="201" customFormat="1" x14ac:dyDescent="0.25">
      <c r="B52" s="201" t="s">
        <v>703</v>
      </c>
    </row>
    <row r="53" spans="2:2" s="201" customFormat="1" x14ac:dyDescent="0.25">
      <c r="B53" s="201" t="s">
        <v>704</v>
      </c>
    </row>
    <row r="54" spans="2:2" s="201" customFormat="1" x14ac:dyDescent="0.25">
      <c r="B54" s="201" t="s">
        <v>705</v>
      </c>
    </row>
    <row r="55" spans="2:2" s="201" customFormat="1" x14ac:dyDescent="0.25">
      <c r="B55" s="201" t="s">
        <v>706</v>
      </c>
    </row>
    <row r="56" spans="2:2" s="201" customFormat="1" x14ac:dyDescent="0.25">
      <c r="B56" s="201" t="s">
        <v>707</v>
      </c>
    </row>
    <row r="57" spans="2:2" s="201" customFormat="1" x14ac:dyDescent="0.25"/>
    <row r="58" spans="2:2" s="201" customFormat="1" x14ac:dyDescent="0.25"/>
    <row r="59" spans="2:2" s="201" customFormat="1" x14ac:dyDescent="0.25"/>
    <row r="60" spans="2:2" s="201" customFormat="1" x14ac:dyDescent="0.25"/>
    <row r="61" spans="2:2" s="201" customFormat="1" x14ac:dyDescent="0.25"/>
    <row r="62" spans="2:2" s="201" customFormat="1" x14ac:dyDescent="0.25"/>
    <row r="63" spans="2:2" s="201" customFormat="1" x14ac:dyDescent="0.25"/>
    <row r="64" spans="2:2" s="201" customFormat="1" x14ac:dyDescent="0.25"/>
    <row r="65" spans="2:2" s="201" customFormat="1" x14ac:dyDescent="0.25"/>
    <row r="66" spans="2:2" s="201" customFormat="1" x14ac:dyDescent="0.25"/>
    <row r="67" spans="2:2" s="201" customFormat="1" x14ac:dyDescent="0.25"/>
    <row r="68" spans="2:2" s="201" customFormat="1" x14ac:dyDescent="0.25"/>
    <row r="69" spans="2:2" s="201" customFormat="1" x14ac:dyDescent="0.25"/>
    <row r="70" spans="2:2" s="201" customFormat="1" x14ac:dyDescent="0.25"/>
    <row r="71" spans="2:2" s="201" customFormat="1" x14ac:dyDescent="0.25"/>
    <row r="72" spans="2:2" s="201" customFormat="1" x14ac:dyDescent="0.25"/>
    <row r="73" spans="2:2" s="201" customFormat="1" x14ac:dyDescent="0.25"/>
    <row r="74" spans="2:2" s="201" customFormat="1" x14ac:dyDescent="0.25"/>
    <row r="75" spans="2:2" s="201" customFormat="1" x14ac:dyDescent="0.25"/>
    <row r="76" spans="2:2" s="201" customFormat="1" x14ac:dyDescent="0.25">
      <c r="B76" s="141" t="s">
        <v>708</v>
      </c>
    </row>
    <row r="77" spans="2:2" s="201" customFormat="1" x14ac:dyDescent="0.25"/>
    <row r="78" spans="2:2" s="201" customFormat="1" x14ac:dyDescent="0.25">
      <c r="B78" s="201" t="s">
        <v>709</v>
      </c>
    </row>
    <row r="79" spans="2:2" s="201" customFormat="1" x14ac:dyDescent="0.25">
      <c r="B79" s="201" t="s">
        <v>710</v>
      </c>
    </row>
    <row r="80" spans="2:2" s="201" customFormat="1" x14ac:dyDescent="0.25">
      <c r="B80" s="201" t="s">
        <v>711</v>
      </c>
    </row>
    <row r="81" spans="2:2" s="201" customFormat="1" x14ac:dyDescent="0.25">
      <c r="B81" s="141"/>
    </row>
    <row r="82" spans="2:2" s="201" customFormat="1" x14ac:dyDescent="0.25">
      <c r="B82" s="141" t="s">
        <v>712</v>
      </c>
    </row>
    <row r="83" spans="2:2" s="201" customFormat="1" x14ac:dyDescent="0.25">
      <c r="B83" s="141"/>
    </row>
    <row r="84" spans="2:2" s="201" customFormat="1" x14ac:dyDescent="0.25">
      <c r="B84" s="141" t="s">
        <v>713</v>
      </c>
    </row>
    <row r="85" spans="2:2" s="201" customFormat="1" x14ac:dyDescent="0.25"/>
    <row r="86" spans="2:2" s="201" customFormat="1" ht="21" x14ac:dyDescent="0.35">
      <c r="B86" s="205" t="s">
        <v>714</v>
      </c>
    </row>
    <row r="87" spans="2:2" s="201" customFormat="1" x14ac:dyDescent="0.25"/>
    <row r="88" spans="2:2" s="201" customFormat="1" x14ac:dyDescent="0.25">
      <c r="B88" s="201" t="s">
        <v>715</v>
      </c>
    </row>
    <row r="89" spans="2:2" s="201" customFormat="1" x14ac:dyDescent="0.25">
      <c r="B89" s="201" t="s">
        <v>716</v>
      </c>
    </row>
    <row r="90" spans="2:2" s="201" customFormat="1" x14ac:dyDescent="0.25">
      <c r="B90" s="201" t="s">
        <v>717</v>
      </c>
    </row>
    <row r="91" spans="2:2" s="201" customFormat="1" x14ac:dyDescent="0.25"/>
    <row r="92" spans="2:2" s="201" customFormat="1" x14ac:dyDescent="0.25">
      <c r="B92" s="201" t="s">
        <v>718</v>
      </c>
    </row>
    <row r="93" spans="2:2" s="201" customFormat="1" x14ac:dyDescent="0.25">
      <c r="B93" s="201" t="s">
        <v>719</v>
      </c>
    </row>
    <row r="94" spans="2:2" s="201" customFormat="1" x14ac:dyDescent="0.25"/>
    <row r="95" spans="2:2" s="201" customFormat="1" x14ac:dyDescent="0.25"/>
    <row r="96" spans="2:2" s="201" customFormat="1" x14ac:dyDescent="0.25"/>
    <row r="97" s="201" customFormat="1" x14ac:dyDescent="0.25"/>
    <row r="98" s="201" customFormat="1" x14ac:dyDescent="0.25"/>
    <row r="99" s="201" customFormat="1" x14ac:dyDescent="0.25"/>
    <row r="100" s="201" customFormat="1" x14ac:dyDescent="0.25"/>
    <row r="101" s="201" customFormat="1" x14ac:dyDescent="0.25"/>
    <row r="102" s="201" customFormat="1" x14ac:dyDescent="0.25"/>
    <row r="103" s="201" customFormat="1" x14ac:dyDescent="0.25"/>
    <row r="104" s="201" customFormat="1" x14ac:dyDescent="0.25"/>
    <row r="105" s="201" customFormat="1" x14ac:dyDescent="0.25"/>
    <row r="106" s="201" customFormat="1" x14ac:dyDescent="0.25"/>
    <row r="107" s="201" customFormat="1" x14ac:dyDescent="0.25"/>
    <row r="108" s="201" customFormat="1" x14ac:dyDescent="0.25"/>
    <row r="109" s="201" customFormat="1" x14ac:dyDescent="0.25"/>
    <row r="110" s="201" customFormat="1" x14ac:dyDescent="0.25"/>
    <row r="111" s="201" customFormat="1" x14ac:dyDescent="0.25"/>
    <row r="112" s="201" customFormat="1" x14ac:dyDescent="0.25"/>
    <row r="113" spans="2:35" s="201" customFormat="1" x14ac:dyDescent="0.25"/>
    <row r="114" spans="2:35" s="201" customFormat="1" x14ac:dyDescent="0.25"/>
    <row r="115" spans="2:35" s="201" customFormat="1" x14ac:dyDescent="0.25">
      <c r="B115" s="201" t="s">
        <v>804</v>
      </c>
    </row>
    <row r="116" spans="2:35" s="201" customFormat="1" x14ac:dyDescent="0.25"/>
    <row r="117" spans="2:35" s="201" customFormat="1" x14ac:dyDescent="0.25">
      <c r="B117" s="201" t="s">
        <v>720</v>
      </c>
    </row>
    <row r="118" spans="2:35" s="201" customFormat="1" x14ac:dyDescent="0.25">
      <c r="B118" s="201" t="s">
        <v>721</v>
      </c>
    </row>
    <row r="119" spans="2:35" s="201" customFormat="1" x14ac:dyDescent="0.25">
      <c r="B119" s="201" t="s">
        <v>722</v>
      </c>
    </row>
    <row r="120" spans="2:35" s="201" customFormat="1" x14ac:dyDescent="0.25">
      <c r="B120" s="201" t="s">
        <v>723</v>
      </c>
    </row>
    <row r="121" spans="2:35" s="201" customFormat="1" x14ac:dyDescent="0.25">
      <c r="B121" s="201" t="s">
        <v>724</v>
      </c>
    </row>
    <row r="122" spans="2:35" s="201" customFormat="1" x14ac:dyDescent="0.25">
      <c r="B122" s="201" t="s">
        <v>725</v>
      </c>
    </row>
    <row r="123" spans="2:35" s="201" customFormat="1" x14ac:dyDescent="0.25">
      <c r="B123" s="201" t="s">
        <v>726</v>
      </c>
    </row>
    <row r="124" spans="2:35" s="201" customFormat="1" x14ac:dyDescent="0.25">
      <c r="B124" s="206" t="s">
        <v>727</v>
      </c>
      <c r="AI124" s="201" t="s">
        <v>1225</v>
      </c>
    </row>
    <row r="125" spans="2:35" s="201" customFormat="1" x14ac:dyDescent="0.25"/>
    <row r="126" spans="2:35" s="201" customFormat="1" x14ac:dyDescent="0.25">
      <c r="B126" s="141" t="s">
        <v>728</v>
      </c>
    </row>
    <row r="127" spans="2:35" s="201" customFormat="1" x14ac:dyDescent="0.25">
      <c r="B127" s="141" t="s">
        <v>729</v>
      </c>
    </row>
    <row r="128" spans="2:35" s="201" customFormat="1" x14ac:dyDescent="0.25">
      <c r="B128" s="201" t="s">
        <v>805</v>
      </c>
    </row>
    <row r="129" spans="2:2" s="201" customFormat="1" x14ac:dyDescent="0.25"/>
    <row r="130" spans="2:2" s="201" customFormat="1" x14ac:dyDescent="0.25">
      <c r="B130" s="201" t="s">
        <v>730</v>
      </c>
    </row>
    <row r="131" spans="2:2" s="201" customFormat="1" x14ac:dyDescent="0.25">
      <c r="B131" s="201" t="s">
        <v>731</v>
      </c>
    </row>
    <row r="132" spans="2:2" s="201" customFormat="1" x14ac:dyDescent="0.25"/>
    <row r="133" spans="2:2" s="201" customFormat="1" x14ac:dyDescent="0.25"/>
    <row r="134" spans="2:2" s="201" customFormat="1" x14ac:dyDescent="0.25"/>
    <row r="135" spans="2:2" s="201" customFormat="1" x14ac:dyDescent="0.25"/>
    <row r="136" spans="2:2" s="201" customFormat="1" x14ac:dyDescent="0.25"/>
    <row r="137" spans="2:2" s="201" customFormat="1" x14ac:dyDescent="0.25"/>
    <row r="138" spans="2:2" s="201" customFormat="1" x14ac:dyDescent="0.25"/>
    <row r="139" spans="2:2" s="201" customFormat="1" x14ac:dyDescent="0.25"/>
    <row r="140" spans="2:2" s="201" customFormat="1" x14ac:dyDescent="0.25"/>
    <row r="141" spans="2:2" s="201" customFormat="1" x14ac:dyDescent="0.25"/>
    <row r="142" spans="2:2" s="201" customFormat="1" x14ac:dyDescent="0.25"/>
    <row r="143" spans="2:2" s="201" customFormat="1" x14ac:dyDescent="0.25"/>
    <row r="144" spans="2:2" s="201" customFormat="1" x14ac:dyDescent="0.25"/>
    <row r="145" s="201" customFormat="1" x14ac:dyDescent="0.25"/>
    <row r="146" s="201" customFormat="1" x14ac:dyDescent="0.25"/>
    <row r="147" s="201" customFormat="1" x14ac:dyDescent="0.25"/>
    <row r="148" s="201" customFormat="1" x14ac:dyDescent="0.25"/>
    <row r="149" s="201" customFormat="1" x14ac:dyDescent="0.25"/>
    <row r="150" s="201" customFormat="1" x14ac:dyDescent="0.25"/>
    <row r="151" s="201" customFormat="1" x14ac:dyDescent="0.25"/>
    <row r="152" s="201" customFormat="1" x14ac:dyDescent="0.25"/>
    <row r="153" s="201" customFormat="1" x14ac:dyDescent="0.25"/>
    <row r="154" s="201" customFormat="1" x14ac:dyDescent="0.25"/>
    <row r="155" s="201" customFormat="1" x14ac:dyDescent="0.25"/>
    <row r="156" s="201" customFormat="1" x14ac:dyDescent="0.25"/>
    <row r="157" s="201" customFormat="1" x14ac:dyDescent="0.25"/>
    <row r="158" s="201" customFormat="1" x14ac:dyDescent="0.25"/>
    <row r="159" s="201" customFormat="1" x14ac:dyDescent="0.25"/>
    <row r="160" s="201" customFormat="1" x14ac:dyDescent="0.25"/>
    <row r="161" s="201" customFormat="1" x14ac:dyDescent="0.25"/>
    <row r="162" s="201" customFormat="1" x14ac:dyDescent="0.25"/>
    <row r="163" s="201" customFormat="1" x14ac:dyDescent="0.25"/>
    <row r="164" s="201" customFormat="1" x14ac:dyDescent="0.25"/>
    <row r="165" s="201" customFormat="1" x14ac:dyDescent="0.25"/>
    <row r="166" s="201" customFormat="1" x14ac:dyDescent="0.25"/>
    <row r="167" s="201" customFormat="1" x14ac:dyDescent="0.25"/>
    <row r="168" s="201" customFormat="1" x14ac:dyDescent="0.25"/>
    <row r="169" s="201" customFormat="1" x14ac:dyDescent="0.25"/>
    <row r="170" s="201" customFormat="1" x14ac:dyDescent="0.25"/>
    <row r="171" s="201" customFormat="1" x14ac:dyDescent="0.25"/>
    <row r="172" s="201" customFormat="1" x14ac:dyDescent="0.25"/>
    <row r="173" s="201" customFormat="1" x14ac:dyDescent="0.25"/>
    <row r="174" s="201" customFormat="1" x14ac:dyDescent="0.25"/>
    <row r="175" s="201" customFormat="1" x14ac:dyDescent="0.25"/>
    <row r="176" s="201" customFormat="1" x14ac:dyDescent="0.25"/>
    <row r="177" s="201" customFormat="1" x14ac:dyDescent="0.25"/>
    <row r="178" s="201" customFormat="1" x14ac:dyDescent="0.25"/>
    <row r="179" s="201" customFormat="1" x14ac:dyDescent="0.25"/>
    <row r="180" s="201" customFormat="1" x14ac:dyDescent="0.25"/>
    <row r="181" s="201" customFormat="1" x14ac:dyDescent="0.25"/>
    <row r="182" s="201" customFormat="1" x14ac:dyDescent="0.25"/>
    <row r="183" s="201" customFormat="1" x14ac:dyDescent="0.25"/>
    <row r="184" s="201" customFormat="1" x14ac:dyDescent="0.25"/>
    <row r="185" s="201" customFormat="1" x14ac:dyDescent="0.25"/>
    <row r="186" s="201" customFormat="1" x14ac:dyDescent="0.25"/>
    <row r="187" s="201" customFormat="1" x14ac:dyDescent="0.25"/>
    <row r="188" s="201" customFormat="1" x14ac:dyDescent="0.25"/>
    <row r="189" s="201" customFormat="1" x14ac:dyDescent="0.25"/>
    <row r="190" s="201" customFormat="1" x14ac:dyDescent="0.25"/>
    <row r="191" s="201" customFormat="1" x14ac:dyDescent="0.25"/>
    <row r="192" s="201" customFormat="1" x14ac:dyDescent="0.25"/>
    <row r="193" s="201" customFormat="1" x14ac:dyDescent="0.25"/>
    <row r="194" s="201" customFormat="1" x14ac:dyDescent="0.25"/>
    <row r="195" s="201" customFormat="1" x14ac:dyDescent="0.25"/>
    <row r="196" s="201" customFormat="1" x14ac:dyDescent="0.25"/>
    <row r="197" s="201" customFormat="1" x14ac:dyDescent="0.25"/>
    <row r="198" s="201" customFormat="1" x14ac:dyDescent="0.25"/>
    <row r="199" s="201" customFormat="1" x14ac:dyDescent="0.25"/>
    <row r="200" s="201" customFormat="1" x14ac:dyDescent="0.25"/>
    <row r="201" s="201" customFormat="1" x14ac:dyDescent="0.25"/>
    <row r="202" s="201" customFormat="1" x14ac:dyDescent="0.25"/>
    <row r="203" s="201" customFormat="1" x14ac:dyDescent="0.25"/>
    <row r="204" s="201" customFormat="1" x14ac:dyDescent="0.25"/>
    <row r="205" s="201" customFormat="1" x14ac:dyDescent="0.25"/>
    <row r="206" s="201" customFormat="1" x14ac:dyDescent="0.25"/>
    <row r="207" s="201" customFormat="1" x14ac:dyDescent="0.25"/>
    <row r="208" s="201" customFormat="1" x14ac:dyDescent="0.25"/>
    <row r="209" s="201" customFormat="1" x14ac:dyDescent="0.25"/>
    <row r="210" s="201" customFormat="1" x14ac:dyDescent="0.25"/>
    <row r="211" s="201" customFormat="1" x14ac:dyDescent="0.25"/>
    <row r="212" s="201" customFormat="1" x14ac:dyDescent="0.25"/>
    <row r="213" s="201" customFormat="1" x14ac:dyDescent="0.25"/>
    <row r="214" s="201" customFormat="1" x14ac:dyDescent="0.25"/>
    <row r="215" s="201" customFormat="1" x14ac:dyDescent="0.25"/>
    <row r="216" s="201" customFormat="1" x14ac:dyDescent="0.25"/>
    <row r="217" s="201" customFormat="1" x14ac:dyDescent="0.25"/>
    <row r="218" s="201" customFormat="1" x14ac:dyDescent="0.25"/>
    <row r="219" s="201" customFormat="1" x14ac:dyDescent="0.25"/>
    <row r="220" s="201" customFormat="1" x14ac:dyDescent="0.25"/>
    <row r="221" s="201" customFormat="1" x14ac:dyDescent="0.25"/>
    <row r="222" s="201" customFormat="1" x14ac:dyDescent="0.25"/>
    <row r="223" s="201" customFormat="1" x14ac:dyDescent="0.25"/>
    <row r="224" s="201" customFormat="1" x14ac:dyDescent="0.25"/>
    <row r="225" s="201" customFormat="1" x14ac:dyDescent="0.25"/>
    <row r="226" s="201" customFormat="1" x14ac:dyDescent="0.25"/>
    <row r="227" s="201" customFormat="1" x14ac:dyDescent="0.25"/>
    <row r="228" s="201" customFormat="1" x14ac:dyDescent="0.25"/>
    <row r="229" s="201" customFormat="1" x14ac:dyDescent="0.25"/>
    <row r="230" s="201" customFormat="1" x14ac:dyDescent="0.25"/>
    <row r="231" s="201" customFormat="1" x14ac:dyDescent="0.25"/>
    <row r="232" s="201" customFormat="1" x14ac:dyDescent="0.25"/>
    <row r="233" s="201" customFormat="1" x14ac:dyDescent="0.25"/>
    <row r="234" s="201" customFormat="1" x14ac:dyDescent="0.25"/>
    <row r="235" s="201" customFormat="1" x14ac:dyDescent="0.25"/>
    <row r="236" s="201" customFormat="1" x14ac:dyDescent="0.25"/>
    <row r="237" s="201" customFormat="1" x14ac:dyDescent="0.25"/>
    <row r="238" s="201" customFormat="1" x14ac:dyDescent="0.25"/>
    <row r="239" s="201" customFormat="1" x14ac:dyDescent="0.25"/>
    <row r="240" s="201" customFormat="1" x14ac:dyDescent="0.25"/>
    <row r="241" s="201" customFormat="1" x14ac:dyDescent="0.25"/>
    <row r="242" s="201" customFormat="1" x14ac:dyDescent="0.25"/>
    <row r="243" s="201" customFormat="1" x14ac:dyDescent="0.25"/>
    <row r="244" s="201" customFormat="1" x14ac:dyDescent="0.25"/>
    <row r="245" s="201" customFormat="1" x14ac:dyDescent="0.25"/>
    <row r="246" s="201" customFormat="1" x14ac:dyDescent="0.25"/>
    <row r="247" s="201" customFormat="1" x14ac:dyDescent="0.25"/>
    <row r="248" s="201" customFormat="1" x14ac:dyDescent="0.25"/>
    <row r="249" s="201" customFormat="1" x14ac:dyDescent="0.25"/>
    <row r="250" s="201" customFormat="1" x14ac:dyDescent="0.25"/>
    <row r="251" s="201" customFormat="1" x14ac:dyDescent="0.25"/>
    <row r="252" s="201" customFormat="1" x14ac:dyDescent="0.25"/>
    <row r="253" s="201" customFormat="1" x14ac:dyDescent="0.25"/>
    <row r="254" s="201" customFormat="1" x14ac:dyDescent="0.25"/>
    <row r="255" s="201" customFormat="1" x14ac:dyDescent="0.25"/>
    <row r="256" s="201" customFormat="1" x14ac:dyDescent="0.25"/>
    <row r="257" s="201" customFormat="1" x14ac:dyDescent="0.25"/>
    <row r="258" s="201" customFormat="1" x14ac:dyDescent="0.25"/>
    <row r="259" s="201" customFormat="1" x14ac:dyDescent="0.25"/>
    <row r="260" s="201" customFormat="1" x14ac:dyDescent="0.25"/>
    <row r="261" s="201" customFormat="1" x14ac:dyDescent="0.25"/>
    <row r="262" s="201" customFormat="1" x14ac:dyDescent="0.25"/>
    <row r="263" s="201" customFormat="1" x14ac:dyDescent="0.25"/>
    <row r="264" s="201" customFormat="1" x14ac:dyDescent="0.25"/>
    <row r="265" s="201" customFormat="1" x14ac:dyDescent="0.25"/>
    <row r="266" s="201" customFormat="1" x14ac:dyDescent="0.25"/>
    <row r="267" s="201" customFormat="1" x14ac:dyDescent="0.25"/>
    <row r="268" s="201" customFormat="1" x14ac:dyDescent="0.25"/>
    <row r="269" s="201" customFormat="1" x14ac:dyDescent="0.25"/>
    <row r="270" s="201" customFormat="1" x14ac:dyDescent="0.25"/>
    <row r="271" s="201" customFormat="1" x14ac:dyDescent="0.25"/>
    <row r="272" s="201" customFormat="1" x14ac:dyDescent="0.25"/>
    <row r="273" s="201" customFormat="1" x14ac:dyDescent="0.25"/>
    <row r="274" s="201" customFormat="1" x14ac:dyDescent="0.25"/>
    <row r="275" s="201" customFormat="1" x14ac:dyDescent="0.25"/>
    <row r="276" s="201" customFormat="1" x14ac:dyDescent="0.25"/>
    <row r="277" s="201" customFormat="1" x14ac:dyDescent="0.25"/>
    <row r="278" s="201" customFormat="1" x14ac:dyDescent="0.25"/>
    <row r="279" s="201" customFormat="1" x14ac:dyDescent="0.25"/>
    <row r="280" s="201" customFormat="1" x14ac:dyDescent="0.25"/>
    <row r="281" s="201" customFormat="1" x14ac:dyDescent="0.25"/>
    <row r="282" s="201" customFormat="1" x14ac:dyDescent="0.25"/>
    <row r="283" s="201" customFormat="1" x14ac:dyDescent="0.25"/>
    <row r="284" s="201" customFormat="1" x14ac:dyDescent="0.25"/>
    <row r="285" s="201" customFormat="1" x14ac:dyDescent="0.25"/>
    <row r="286" s="201" customFormat="1" x14ac:dyDescent="0.25"/>
    <row r="287" s="201" customFormat="1" x14ac:dyDescent="0.25"/>
    <row r="288" s="201" customFormat="1" x14ac:dyDescent="0.25"/>
    <row r="289" s="201" customFormat="1" x14ac:dyDescent="0.25"/>
    <row r="290" s="201" customFormat="1" x14ac:dyDescent="0.25"/>
    <row r="291" s="201" customFormat="1" x14ac:dyDescent="0.25"/>
    <row r="292" s="201" customFormat="1" x14ac:dyDescent="0.25"/>
    <row r="293" s="201" customFormat="1" x14ac:dyDescent="0.25"/>
    <row r="294" s="201" customFormat="1" x14ac:dyDescent="0.25"/>
    <row r="295" s="201" customFormat="1" x14ac:dyDescent="0.25"/>
    <row r="296" s="201" customFormat="1" x14ac:dyDescent="0.25"/>
    <row r="297" s="201" customFormat="1" x14ac:dyDescent="0.25"/>
    <row r="298" s="201" customFormat="1" x14ac:dyDescent="0.25"/>
    <row r="299" s="201" customFormat="1" x14ac:dyDescent="0.25"/>
    <row r="300" s="201" customFormat="1" x14ac:dyDescent="0.25"/>
    <row r="301" s="201" customFormat="1" x14ac:dyDescent="0.25"/>
    <row r="302" s="201" customFormat="1" x14ac:dyDescent="0.25"/>
    <row r="303" s="201" customFormat="1" x14ac:dyDescent="0.25"/>
    <row r="304" s="201" customFormat="1" x14ac:dyDescent="0.25"/>
    <row r="305" s="201" customFormat="1" x14ac:dyDescent="0.25"/>
    <row r="306" s="201" customFormat="1" x14ac:dyDescent="0.25"/>
    <row r="307" s="201" customFormat="1" x14ac:dyDescent="0.25"/>
    <row r="308" s="201" customFormat="1" x14ac:dyDescent="0.25"/>
    <row r="309" s="201" customFormat="1" x14ac:dyDescent="0.25"/>
    <row r="310" s="201" customFormat="1" x14ac:dyDescent="0.25"/>
    <row r="311" s="201" customFormat="1" x14ac:dyDescent="0.25"/>
    <row r="312" s="201" customFormat="1" x14ac:dyDescent="0.25"/>
    <row r="313" s="201" customFormat="1" x14ac:dyDescent="0.25"/>
    <row r="314" s="201" customFormat="1" x14ac:dyDescent="0.25"/>
    <row r="315" s="201" customFormat="1" x14ac:dyDescent="0.25"/>
    <row r="316" s="201" customFormat="1" x14ac:dyDescent="0.25"/>
    <row r="317" s="201" customFormat="1" x14ac:dyDescent="0.25"/>
    <row r="318" s="201" customFormat="1" x14ac:dyDescent="0.25"/>
    <row r="319" s="201" customFormat="1" x14ac:dyDescent="0.25"/>
    <row r="320" s="201" customFormat="1" x14ac:dyDescent="0.25"/>
    <row r="321" s="201" customFormat="1" x14ac:dyDescent="0.25"/>
    <row r="322" s="201" customFormat="1" x14ac:dyDescent="0.25"/>
    <row r="323" s="201" customFormat="1" x14ac:dyDescent="0.25"/>
    <row r="324" s="201" customFormat="1" x14ac:dyDescent="0.25"/>
    <row r="325" s="201" customFormat="1" x14ac:dyDescent="0.25"/>
    <row r="326" s="201" customFormat="1" x14ac:dyDescent="0.25"/>
    <row r="327" s="201" customFormat="1" x14ac:dyDescent="0.25"/>
    <row r="328" s="201" customFormat="1" x14ac:dyDescent="0.25"/>
    <row r="329" s="201" customFormat="1" x14ac:dyDescent="0.25"/>
    <row r="330" s="201" customFormat="1" x14ac:dyDescent="0.25"/>
    <row r="331" s="201" customFormat="1" x14ac:dyDescent="0.25"/>
    <row r="332" s="201" customFormat="1" x14ac:dyDescent="0.25"/>
    <row r="333" s="201" customFormat="1" x14ac:dyDescent="0.25"/>
    <row r="334" s="201" customFormat="1" x14ac:dyDescent="0.25"/>
    <row r="335" s="201" customFormat="1" x14ac:dyDescent="0.25"/>
    <row r="336" s="201" customFormat="1" x14ac:dyDescent="0.25"/>
    <row r="337" spans="35:35" s="201" customFormat="1" x14ac:dyDescent="0.25"/>
    <row r="338" spans="35:35" s="201" customFormat="1" x14ac:dyDescent="0.25"/>
    <row r="339" spans="35:35" s="201" customFormat="1" x14ac:dyDescent="0.25"/>
    <row r="340" spans="35:35" s="201" customFormat="1" x14ac:dyDescent="0.25">
      <c r="AI340" s="201" t="s">
        <v>1226</v>
      </c>
    </row>
    <row r="341" spans="35:35" s="201" customFormat="1" x14ac:dyDescent="0.25"/>
    <row r="342" spans="35:35" s="201" customFormat="1" x14ac:dyDescent="0.25"/>
    <row r="343" spans="35:35" s="201" customFormat="1" x14ac:dyDescent="0.25"/>
    <row r="344" spans="35:35" s="201" customFormat="1" x14ac:dyDescent="0.25"/>
    <row r="345" spans="35:35" s="201" customFormat="1" x14ac:dyDescent="0.25"/>
    <row r="346" spans="35:35" s="201" customFormat="1" x14ac:dyDescent="0.25"/>
    <row r="347" spans="35:35" s="201" customFormat="1" x14ac:dyDescent="0.25"/>
    <row r="348" spans="35:35" s="201" customFormat="1" x14ac:dyDescent="0.25"/>
    <row r="349" spans="35:35" s="201" customFormat="1" x14ac:dyDescent="0.25"/>
    <row r="350" spans="35:35" s="201" customFormat="1" x14ac:dyDescent="0.25"/>
    <row r="351" spans="35:35" s="201" customFormat="1" x14ac:dyDescent="0.25"/>
    <row r="352" spans="35:35" s="201" customFormat="1" x14ac:dyDescent="0.25"/>
    <row r="353" s="201" customFormat="1" x14ac:dyDescent="0.25"/>
    <row r="354" s="201" customFormat="1" x14ac:dyDescent="0.25"/>
    <row r="355" s="201" customFormat="1" x14ac:dyDescent="0.25"/>
    <row r="356" s="201" customFormat="1" x14ac:dyDescent="0.25"/>
    <row r="357" s="201" customFormat="1" x14ac:dyDescent="0.25"/>
    <row r="358" s="201" customFormat="1" x14ac:dyDescent="0.25"/>
    <row r="359" s="201" customFormat="1" x14ac:dyDescent="0.25"/>
    <row r="360" s="201" customFormat="1" x14ac:dyDescent="0.25"/>
    <row r="361" s="201" customFormat="1" x14ac:dyDescent="0.25"/>
    <row r="362" s="201" customFormat="1" x14ac:dyDescent="0.25"/>
    <row r="363" s="201" customFormat="1" x14ac:dyDescent="0.25"/>
    <row r="364" s="201" customFormat="1" x14ac:dyDescent="0.25"/>
    <row r="365" s="201" customFormat="1" x14ac:dyDescent="0.25"/>
    <row r="366" s="201" customFormat="1" x14ac:dyDescent="0.25"/>
    <row r="367" s="201" customFormat="1" x14ac:dyDescent="0.25"/>
    <row r="368" s="201" customFormat="1" x14ac:dyDescent="0.25"/>
    <row r="369" s="201" customFormat="1" x14ac:dyDescent="0.25"/>
    <row r="370" s="201" customFormat="1" x14ac:dyDescent="0.25"/>
    <row r="371" s="201" customFormat="1" x14ac:dyDescent="0.25"/>
    <row r="372" s="201" customFormat="1" x14ac:dyDescent="0.25"/>
    <row r="373" s="201" customFormat="1" x14ac:dyDescent="0.25"/>
    <row r="374" s="201" customFormat="1" x14ac:dyDescent="0.25"/>
    <row r="375" s="201" customFormat="1" x14ac:dyDescent="0.25"/>
    <row r="376" s="201" customFormat="1" x14ac:dyDescent="0.25"/>
    <row r="377" s="201" customFormat="1" x14ac:dyDescent="0.25"/>
    <row r="378" s="201" customFormat="1" x14ac:dyDescent="0.25"/>
    <row r="379" s="201" customFormat="1" x14ac:dyDescent="0.25"/>
    <row r="380" s="201" customFormat="1" x14ac:dyDescent="0.25"/>
    <row r="381" s="201" customFormat="1" x14ac:dyDescent="0.25"/>
    <row r="382" s="201" customFormat="1" x14ac:dyDescent="0.25"/>
    <row r="383" s="201" customFormat="1" x14ac:dyDescent="0.25"/>
    <row r="384" s="201" customFormat="1" x14ac:dyDescent="0.25"/>
    <row r="385" s="201" customFormat="1" x14ac:dyDescent="0.25"/>
    <row r="386" s="201" customFormat="1" x14ac:dyDescent="0.25"/>
    <row r="387" s="201" customFormat="1" x14ac:dyDescent="0.25"/>
    <row r="388" s="201" customFormat="1" x14ac:dyDescent="0.25"/>
    <row r="389" s="201" customFormat="1" x14ac:dyDescent="0.25"/>
    <row r="390" s="201" customFormat="1" x14ac:dyDescent="0.25"/>
    <row r="391" s="201" customFormat="1" x14ac:dyDescent="0.25"/>
    <row r="392" s="201" customFormat="1" x14ac:dyDescent="0.25"/>
    <row r="393" s="201" customFormat="1" x14ac:dyDescent="0.25"/>
    <row r="394" s="201" customFormat="1" x14ac:dyDescent="0.25"/>
    <row r="395" s="201" customFormat="1" x14ac:dyDescent="0.25"/>
    <row r="396" s="201" customFormat="1" x14ac:dyDescent="0.25"/>
    <row r="397" s="201" customFormat="1" x14ac:dyDescent="0.25"/>
    <row r="398" s="201" customFormat="1" x14ac:dyDescent="0.25"/>
    <row r="399" s="201" customFormat="1" x14ac:dyDescent="0.25"/>
    <row r="400" s="201" customFormat="1" x14ac:dyDescent="0.25"/>
    <row r="401" s="201" customFormat="1" x14ac:dyDescent="0.25"/>
    <row r="402" s="201" customFormat="1" x14ac:dyDescent="0.25"/>
    <row r="403" s="201" customFormat="1" x14ac:dyDescent="0.25"/>
    <row r="404" s="201" customFormat="1" x14ac:dyDescent="0.25"/>
    <row r="405" s="201" customFormat="1" x14ac:dyDescent="0.25"/>
    <row r="406" s="201" customFormat="1" x14ac:dyDescent="0.25"/>
    <row r="407" s="201" customFormat="1" x14ac:dyDescent="0.25"/>
    <row r="408" s="201" customFormat="1" x14ac:dyDescent="0.25"/>
    <row r="409" s="201" customFormat="1" x14ac:dyDescent="0.25"/>
    <row r="410" s="201" customFormat="1" x14ac:dyDescent="0.25"/>
    <row r="411" s="201" customFormat="1" x14ac:dyDescent="0.25"/>
    <row r="412" s="201" customFormat="1" x14ac:dyDescent="0.25"/>
    <row r="413" s="201" customFormat="1" x14ac:dyDescent="0.25"/>
    <row r="414" s="201" customFormat="1" x14ac:dyDescent="0.25"/>
    <row r="415" s="201" customFormat="1" x14ac:dyDescent="0.25"/>
    <row r="416" s="201" customFormat="1" x14ac:dyDescent="0.25"/>
    <row r="417" s="201" customFormat="1" x14ac:dyDescent="0.25"/>
    <row r="418" s="201" customFormat="1" x14ac:dyDescent="0.25"/>
    <row r="419" s="201" customFormat="1" x14ac:dyDescent="0.25"/>
    <row r="420" s="201" customFormat="1" x14ac:dyDescent="0.25"/>
    <row r="421" s="201" customFormat="1" x14ac:dyDescent="0.25"/>
    <row r="422" s="201" customFormat="1" x14ac:dyDescent="0.25"/>
    <row r="423" s="201" customFormat="1" x14ac:dyDescent="0.25"/>
    <row r="424" s="201" customFormat="1" x14ac:dyDescent="0.25"/>
    <row r="425" s="201" customFormat="1" x14ac:dyDescent="0.25"/>
    <row r="426" s="201" customFormat="1" x14ac:dyDescent="0.25"/>
    <row r="427" s="201" customFormat="1" x14ac:dyDescent="0.25"/>
    <row r="428" s="201" customFormat="1" x14ac:dyDescent="0.25"/>
    <row r="429" s="201" customFormat="1" x14ac:dyDescent="0.25"/>
    <row r="430" s="201" customFormat="1" x14ac:dyDescent="0.25"/>
    <row r="431" s="201" customFormat="1" x14ac:dyDescent="0.25"/>
    <row r="432" s="201" customFormat="1" x14ac:dyDescent="0.25"/>
    <row r="433" s="201" customFormat="1" x14ac:dyDescent="0.25"/>
    <row r="434" s="201" customFormat="1" x14ac:dyDescent="0.25"/>
    <row r="435" s="201" customFormat="1" x14ac:dyDescent="0.25"/>
    <row r="436" s="201" customFormat="1" x14ac:dyDescent="0.25"/>
    <row r="437" s="201" customFormat="1" x14ac:dyDescent="0.25"/>
    <row r="438" s="201" customFormat="1" x14ac:dyDescent="0.25"/>
    <row r="439" s="201" customFormat="1" x14ac:dyDescent="0.25"/>
    <row r="440" s="201" customFormat="1" x14ac:dyDescent="0.25"/>
    <row r="441" s="201" customFormat="1" x14ac:dyDescent="0.25"/>
    <row r="442" s="201" customFormat="1" x14ac:dyDescent="0.25"/>
    <row r="443" s="201" customFormat="1" x14ac:dyDescent="0.25"/>
    <row r="444" s="201" customFormat="1" x14ac:dyDescent="0.25"/>
    <row r="445" s="201" customFormat="1" x14ac:dyDescent="0.25"/>
    <row r="446" s="201" customFormat="1" x14ac:dyDescent="0.25"/>
    <row r="447" s="201" customFormat="1" x14ac:dyDescent="0.25"/>
    <row r="448" s="201" customFormat="1" x14ac:dyDescent="0.25"/>
    <row r="449" s="201" customFormat="1" x14ac:dyDescent="0.25"/>
    <row r="450" s="201" customFormat="1" x14ac:dyDescent="0.25"/>
    <row r="451" s="201" customFormat="1" x14ac:dyDescent="0.25"/>
    <row r="452" s="201" customFormat="1" x14ac:dyDescent="0.25"/>
    <row r="453" s="201" customFormat="1" x14ac:dyDescent="0.25"/>
    <row r="454" s="201" customFormat="1" x14ac:dyDescent="0.25"/>
    <row r="455" s="201" customFormat="1" x14ac:dyDescent="0.25"/>
    <row r="456" s="201" customFormat="1" x14ac:dyDescent="0.25"/>
    <row r="457" s="201" customFormat="1" x14ac:dyDescent="0.25"/>
    <row r="458" s="201" customFormat="1" x14ac:dyDescent="0.25"/>
    <row r="459" s="201" customFormat="1" x14ac:dyDescent="0.25"/>
    <row r="460" s="201" customFormat="1" x14ac:dyDescent="0.25"/>
    <row r="461" s="201" customFormat="1" x14ac:dyDescent="0.25"/>
    <row r="462" s="201" customFormat="1" x14ac:dyDescent="0.25"/>
    <row r="463" s="201" customFormat="1" x14ac:dyDescent="0.25"/>
    <row r="464" s="201" customFormat="1" x14ac:dyDescent="0.25"/>
    <row r="465" s="201" customFormat="1" x14ac:dyDescent="0.25"/>
    <row r="466" s="201" customFormat="1" x14ac:dyDescent="0.25"/>
    <row r="467" s="201" customFormat="1" x14ac:dyDescent="0.25"/>
    <row r="468" s="201" customFormat="1" x14ac:dyDescent="0.25"/>
    <row r="469" s="201" customFormat="1" x14ac:dyDescent="0.25"/>
    <row r="470" s="201" customFormat="1" x14ac:dyDescent="0.25"/>
    <row r="471" s="201" customFormat="1" x14ac:dyDescent="0.25"/>
    <row r="472" s="201" customFormat="1" x14ac:dyDescent="0.25"/>
    <row r="473" s="201" customFormat="1" x14ac:dyDescent="0.25"/>
    <row r="474" s="201" customFormat="1" x14ac:dyDescent="0.25"/>
    <row r="475" s="201" customFormat="1" x14ac:dyDescent="0.25"/>
    <row r="476" s="201" customFormat="1" x14ac:dyDescent="0.25"/>
    <row r="477" s="201" customFormat="1" x14ac:dyDescent="0.25"/>
    <row r="478" s="201" customFormat="1" x14ac:dyDescent="0.25"/>
    <row r="479" s="201" customFormat="1" x14ac:dyDescent="0.25"/>
    <row r="480" s="201" customFormat="1" x14ac:dyDescent="0.25"/>
    <row r="481" s="201" customFormat="1" x14ac:dyDescent="0.25"/>
    <row r="482" s="201" customFormat="1" x14ac:dyDescent="0.25"/>
    <row r="483" s="201" customFormat="1" x14ac:dyDescent="0.25"/>
    <row r="484" s="201" customFormat="1" x14ac:dyDescent="0.25"/>
    <row r="485" s="201" customFormat="1" x14ac:dyDescent="0.25"/>
    <row r="486" s="201" customFormat="1" x14ac:dyDescent="0.25"/>
    <row r="487" s="201" customFormat="1" x14ac:dyDescent="0.25"/>
    <row r="488" s="201" customFormat="1" x14ac:dyDescent="0.25"/>
    <row r="489" s="201" customFormat="1" x14ac:dyDescent="0.25"/>
    <row r="490" s="201" customFormat="1" x14ac:dyDescent="0.25"/>
    <row r="491" s="201" customFormat="1" x14ac:dyDescent="0.25"/>
    <row r="492" s="201" customFormat="1" x14ac:dyDescent="0.25"/>
    <row r="493" s="201" customFormat="1" x14ac:dyDescent="0.25"/>
    <row r="494" s="201" customFormat="1" x14ac:dyDescent="0.25"/>
    <row r="495" s="201" customFormat="1" x14ac:dyDescent="0.25"/>
    <row r="496" s="201" customFormat="1" x14ac:dyDescent="0.25"/>
    <row r="497" s="201" customFormat="1" x14ac:dyDescent="0.25"/>
    <row r="498" s="201" customFormat="1" x14ac:dyDescent="0.25"/>
    <row r="499" s="201" customFormat="1" x14ac:dyDescent="0.25"/>
    <row r="500" s="201" customFormat="1" x14ac:dyDescent="0.25"/>
    <row r="501" s="201" customFormat="1" x14ac:dyDescent="0.25"/>
    <row r="502" s="201" customFormat="1" x14ac:dyDescent="0.25"/>
    <row r="503" s="201" customFormat="1" x14ac:dyDescent="0.25"/>
    <row r="504" s="201" customFormat="1" x14ac:dyDescent="0.25"/>
    <row r="505" s="201" customFormat="1" x14ac:dyDescent="0.25"/>
  </sheetData>
  <sheetProtection algorithmName="SHA-512" hashValue="VFMoZcoLEkQO3kJ483csQ65MkeCGxhdNwcNVZWpTG/AMzSgTOsGXdzVetgkKPaNbrtU3Govpxr3MXcQIRNcasA==" saltValue="xpni0o4UbYunF36uSMT7Dw==" spinCount="100000" sheet="1" objects="1" scenarios="1" selectLockedCells="1"/>
  <pageMargins left="0.25" right="0.25" top="0.75" bottom="0.75" header="0.3" footer="0.3"/>
  <pageSetup scale="5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0EF34-950C-4CCD-B6A1-2268E65D25D5}">
  <dimension ref="B3:B15"/>
  <sheetViews>
    <sheetView workbookViewId="0">
      <selection activeCell="AC82" sqref="AC82"/>
    </sheetView>
  </sheetViews>
  <sheetFormatPr defaultColWidth="9.140625" defaultRowHeight="15" x14ac:dyDescent="0.25"/>
  <cols>
    <col min="1" max="16384" width="9.140625" style="140"/>
  </cols>
  <sheetData>
    <row r="3" spans="2:2" x14ac:dyDescent="0.25">
      <c r="B3" s="167" t="s">
        <v>645</v>
      </c>
    </row>
    <row r="4" spans="2:2" x14ac:dyDescent="0.25">
      <c r="B4" s="167" t="s">
        <v>646</v>
      </c>
    </row>
    <row r="5" spans="2:2" x14ac:dyDescent="0.25">
      <c r="B5" s="167" t="s">
        <v>648</v>
      </c>
    </row>
    <row r="6" spans="2:2" x14ac:dyDescent="0.25">
      <c r="B6" s="140" t="s">
        <v>668</v>
      </c>
    </row>
    <row r="7" spans="2:2" x14ac:dyDescent="0.25">
      <c r="B7" s="143" t="s">
        <v>669</v>
      </c>
    </row>
    <row r="8" spans="2:2" x14ac:dyDescent="0.25">
      <c r="B8" s="167" t="s">
        <v>670</v>
      </c>
    </row>
    <row r="9" spans="2:2" x14ac:dyDescent="0.25">
      <c r="B9" s="143" t="s">
        <v>647</v>
      </c>
    </row>
    <row r="10" spans="2:2" x14ac:dyDescent="0.25">
      <c r="B10" s="167" t="s">
        <v>671</v>
      </c>
    </row>
    <row r="11" spans="2:2" x14ac:dyDescent="0.25">
      <c r="B11" s="167" t="s">
        <v>1228</v>
      </c>
    </row>
    <row r="12" spans="2:2" x14ac:dyDescent="0.25">
      <c r="B12" s="167" t="s">
        <v>1229</v>
      </c>
    </row>
    <row r="13" spans="2:2" x14ac:dyDescent="0.25">
      <c r="B13" s="167"/>
    </row>
    <row r="14" spans="2:2" x14ac:dyDescent="0.25">
      <c r="B14" s="167"/>
    </row>
    <row r="15" spans="2:2" x14ac:dyDescent="0.25">
      <c r="B15" s="143"/>
    </row>
  </sheetData>
  <sheetProtection algorithmName="SHA-512" hashValue="jE5uHZzoSti/gzsUw+qI0Yvh+uM6NeeSACQdGrX03NTVteZF9cGLt5sShapRvpKfk0bAJVE6+cQZkqBVvHKmMQ==" saltValue="VaBeLG7y+MCjpL57AMjfbw==" spinCount="100000" sheet="1" objects="1" scenarios="1" selectLockedCells="1"/>
  <pageMargins left="0.7" right="0.7" top="0.75" bottom="0.75" header="0.3" footer="0.3"/>
  <pageSetup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17D25-3063-452B-9A39-0A3115046D74}">
  <dimension ref="B2:C16"/>
  <sheetViews>
    <sheetView workbookViewId="0">
      <selection activeCell="AD87" sqref="AD87"/>
    </sheetView>
  </sheetViews>
  <sheetFormatPr defaultColWidth="9.140625" defaultRowHeight="15" x14ac:dyDescent="0.25"/>
  <cols>
    <col min="1" max="16384" width="9.140625" style="140"/>
  </cols>
  <sheetData>
    <row r="2" spans="2:3" ht="24" x14ac:dyDescent="0.4">
      <c r="B2" s="139" t="s">
        <v>649</v>
      </c>
    </row>
    <row r="4" spans="2:3" x14ac:dyDescent="0.25">
      <c r="B4" s="167" t="s">
        <v>650</v>
      </c>
    </row>
    <row r="5" spans="2:3" x14ac:dyDescent="0.25">
      <c r="B5" s="167" t="s">
        <v>651</v>
      </c>
    </row>
    <row r="6" spans="2:3" x14ac:dyDescent="0.25">
      <c r="B6" s="167" t="s">
        <v>652</v>
      </c>
    </row>
    <row r="7" spans="2:3" x14ac:dyDescent="0.25">
      <c r="B7" s="167" t="s">
        <v>653</v>
      </c>
    </row>
    <row r="8" spans="2:3" x14ac:dyDescent="0.25">
      <c r="B8" s="143" t="s">
        <v>654</v>
      </c>
    </row>
    <row r="9" spans="2:3" x14ac:dyDescent="0.25">
      <c r="B9" s="143" t="s">
        <v>655</v>
      </c>
    </row>
    <row r="10" spans="2:3" x14ac:dyDescent="0.25">
      <c r="B10" s="143" t="s">
        <v>656</v>
      </c>
    </row>
    <row r="11" spans="2:3" x14ac:dyDescent="0.25">
      <c r="B11" s="143" t="s">
        <v>657</v>
      </c>
    </row>
    <row r="12" spans="2:3" x14ac:dyDescent="0.25">
      <c r="B12" s="143" t="s">
        <v>658</v>
      </c>
    </row>
    <row r="13" spans="2:3" x14ac:dyDescent="0.25">
      <c r="B13" s="143" t="s">
        <v>659</v>
      </c>
    </row>
    <row r="14" spans="2:3" x14ac:dyDescent="0.25">
      <c r="B14" s="167" t="s">
        <v>660</v>
      </c>
    </row>
    <row r="16" spans="2:3" x14ac:dyDescent="0.25">
      <c r="C16"/>
    </row>
  </sheetData>
  <sheetProtection algorithmName="SHA-512" hashValue="RMhP28Dg3EaAV9N+/Cvs5Y4WSDF6gtLpOIHIifqHdlSSlnehMuSNOtkCbU4EEaSGL0ousjn18Dwg13RSJpz90A==" saltValue="xOwKeBV8yujgrxN3WAVjzg==" spinCount="100000" sheet="1" objects="1" scenarios="1" selectLockedCell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8127B-F7ED-4918-A9E1-B15B2CF6CDDB}">
  <dimension ref="A1"/>
  <sheetViews>
    <sheetView workbookViewId="0">
      <selection activeCell="AD118" sqref="AD118"/>
    </sheetView>
  </sheetViews>
  <sheetFormatPr defaultRowHeight="15" x14ac:dyDescent="0.25"/>
  <cols>
    <col min="1" max="16384" width="9.140625" style="2"/>
  </cols>
  <sheetData/>
  <sheetProtection algorithmName="SHA-512" hashValue="cqgFLg8Qrr1+GzSrDBYWTvI2wVJHz/sqEDvJb71X5fFmkSNDBZaobr3bYradqKIAYApctnesHx2z0KZ5TsR0+Q==" saltValue="GBEzDmLrfF9Y4IYxhnlK4w==" spinCount="100000" sheet="1" objects="1" scenarios="1" selectLockedCells="1"/>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7F1D2-958F-4895-A21D-C46E2E6C4AB5}">
  <dimension ref="D5:E29"/>
  <sheetViews>
    <sheetView workbookViewId="0">
      <selection activeCell="AC87" sqref="AC87"/>
    </sheetView>
  </sheetViews>
  <sheetFormatPr defaultColWidth="9.140625" defaultRowHeight="15" x14ac:dyDescent="0.25"/>
  <cols>
    <col min="1" max="16384" width="9.140625" style="140"/>
  </cols>
  <sheetData>
    <row r="5" spans="4:5" x14ac:dyDescent="0.25">
      <c r="D5" s="167" t="s">
        <v>790</v>
      </c>
    </row>
    <row r="7" spans="4:5" x14ac:dyDescent="0.25">
      <c r="D7" s="167">
        <v>1</v>
      </c>
      <c r="E7" s="142" t="s">
        <v>791</v>
      </c>
    </row>
    <row r="8" spans="4:5" x14ac:dyDescent="0.25">
      <c r="D8" s="167">
        <v>2</v>
      </c>
      <c r="E8" s="142" t="s">
        <v>1250</v>
      </c>
    </row>
    <row r="9" spans="4:5" x14ac:dyDescent="0.25">
      <c r="D9" s="167">
        <v>3</v>
      </c>
      <c r="E9" s="142" t="s">
        <v>1251</v>
      </c>
    </row>
    <row r="10" spans="4:5" x14ac:dyDescent="0.25">
      <c r="D10" s="167">
        <v>4</v>
      </c>
      <c r="E10" s="142" t="s">
        <v>1252</v>
      </c>
    </row>
    <row r="11" spans="4:5" x14ac:dyDescent="0.25">
      <c r="D11" s="167">
        <v>5</v>
      </c>
      <c r="E11" s="142" t="s">
        <v>792</v>
      </c>
    </row>
    <row r="12" spans="4:5" x14ac:dyDescent="0.25">
      <c r="D12" s="167">
        <v>6</v>
      </c>
      <c r="E12" s="142" t="s">
        <v>1253</v>
      </c>
    </row>
    <row r="13" spans="4:5" x14ac:dyDescent="0.25">
      <c r="D13" s="167">
        <v>7</v>
      </c>
      <c r="E13" s="142" t="s">
        <v>793</v>
      </c>
    </row>
    <row r="14" spans="4:5" x14ac:dyDescent="0.25">
      <c r="D14" s="167"/>
      <c r="E14" s="143" t="s">
        <v>802</v>
      </c>
    </row>
    <row r="15" spans="4:5" x14ac:dyDescent="0.25">
      <c r="D15" s="167"/>
      <c r="E15" s="143" t="s">
        <v>803</v>
      </c>
    </row>
    <row r="16" spans="4:5" x14ac:dyDescent="0.25">
      <c r="D16" s="167">
        <v>8</v>
      </c>
      <c r="E16" s="142" t="s">
        <v>794</v>
      </c>
    </row>
    <row r="19" spans="4:5" x14ac:dyDescent="0.25">
      <c r="D19" s="334" t="s">
        <v>795</v>
      </c>
      <c r="E19" s="142" t="s">
        <v>1254</v>
      </c>
    </row>
    <row r="20" spans="4:5" x14ac:dyDescent="0.25">
      <c r="D20" s="334" t="s">
        <v>797</v>
      </c>
      <c r="E20" s="142" t="s">
        <v>1257</v>
      </c>
    </row>
    <row r="21" spans="4:5" x14ac:dyDescent="0.25">
      <c r="D21" s="334" t="s">
        <v>796</v>
      </c>
      <c r="E21" s="142" t="s">
        <v>1255</v>
      </c>
    </row>
    <row r="22" spans="4:5" x14ac:dyDescent="0.25">
      <c r="D22" s="334" t="s">
        <v>798</v>
      </c>
      <c r="E22" s="142" t="s">
        <v>1256</v>
      </c>
    </row>
    <row r="23" spans="4:5" x14ac:dyDescent="0.25">
      <c r="D23" s="334" t="s">
        <v>799</v>
      </c>
      <c r="E23" s="142" t="s">
        <v>1258</v>
      </c>
    </row>
    <row r="24" spans="4:5" x14ac:dyDescent="0.25">
      <c r="D24" s="334" t="s">
        <v>801</v>
      </c>
      <c r="E24" s="142" t="s">
        <v>1259</v>
      </c>
    </row>
    <row r="25" spans="4:5" x14ac:dyDescent="0.25">
      <c r="D25" s="334"/>
      <c r="E25" s="142"/>
    </row>
    <row r="26" spans="4:5" x14ac:dyDescent="0.25">
      <c r="D26" s="334"/>
    </row>
    <row r="27" spans="4:5" x14ac:dyDescent="0.25">
      <c r="D27" s="167" t="s">
        <v>1260</v>
      </c>
    </row>
    <row r="28" spans="4:5" x14ac:dyDescent="0.25">
      <c r="D28" s="533" t="s">
        <v>1261</v>
      </c>
    </row>
    <row r="29" spans="4:5" x14ac:dyDescent="0.25">
      <c r="D29" s="333"/>
    </row>
  </sheetData>
  <sheetProtection algorithmName="SHA-512" hashValue="N+1h/0GyPQJEQ4geriJOfa4AVaIh/8aZ7lq7ZeBZunVRn5a0aue9rIvrqyIDyy6r/KKRLYgIewKrtZ2+De6J3w==" saltValue="KDUDLFnhJVYyOnfyOu+YUw==" spinCount="100000" sheet="1" objects="1" scenarios="1" selectLockedCells="1"/>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8D0AF-6652-4C4E-9409-8F5669BB9280}">
  <sheetPr>
    <outlinePr summaryBelow="0"/>
    <pageSetUpPr fitToPage="1"/>
  </sheetPr>
  <dimension ref="A1:EF60"/>
  <sheetViews>
    <sheetView showGridLines="0" zoomScale="110" zoomScaleNormal="110" workbookViewId="0">
      <pane xSplit="5" ySplit="12" topLeftCell="F13" activePane="bottomRight" state="frozen"/>
      <selection pane="topRight" activeCell="F1" sqref="F1"/>
      <selection pane="bottomLeft" activeCell="A9" sqref="A9"/>
      <selection pane="bottomRight" activeCell="R9" sqref="R9"/>
    </sheetView>
  </sheetViews>
  <sheetFormatPr defaultColWidth="9.140625" defaultRowHeight="12.75" x14ac:dyDescent="0.2"/>
  <cols>
    <col min="1" max="1" width="3.85546875" style="340" customWidth="1"/>
    <col min="2" max="2" width="5.42578125" style="340" customWidth="1"/>
    <col min="3" max="3" width="26" style="340" customWidth="1"/>
    <col min="4" max="4" width="7.28515625" style="340" customWidth="1"/>
    <col min="5" max="5" width="6.7109375" style="340" hidden="1" customWidth="1"/>
    <col min="6" max="6" width="10.85546875" style="340" customWidth="1"/>
    <col min="7" max="9" width="5.7109375" style="340" hidden="1" customWidth="1"/>
    <col min="10" max="10" width="8.85546875" style="340" customWidth="1"/>
    <col min="11" max="12" width="4.7109375" style="340" customWidth="1"/>
    <col min="13" max="13" width="8.85546875" style="340" customWidth="1"/>
    <col min="14" max="14" width="5.140625" style="340" customWidth="1"/>
    <col min="15" max="15" width="7.5703125" style="340" customWidth="1"/>
    <col min="16" max="16" width="5.5703125" style="340" customWidth="1"/>
    <col min="17" max="18" width="10.7109375" style="340" customWidth="1"/>
    <col min="19" max="19" width="4.7109375" style="340" customWidth="1"/>
    <col min="20" max="20" width="4.7109375" style="340" hidden="1" customWidth="1"/>
    <col min="21" max="22" width="9" style="340" hidden="1" customWidth="1"/>
    <col min="23" max="93" width="2.42578125" style="340" customWidth="1"/>
    <col min="94" max="135" width="2.42578125" style="340" hidden="1" customWidth="1"/>
    <col min="136" max="16384" width="9.140625" style="340"/>
  </cols>
  <sheetData>
    <row r="1" spans="1:136" s="362" customFormat="1" ht="24" customHeight="1" x14ac:dyDescent="0.2">
      <c r="A1" s="358"/>
      <c r="B1" s="359" t="s">
        <v>902</v>
      </c>
      <c r="C1" s="360"/>
      <c r="D1" s="360"/>
      <c r="E1" s="360"/>
      <c r="F1" s="360"/>
      <c r="G1" s="360"/>
      <c r="H1" s="360"/>
      <c r="I1" s="360"/>
      <c r="J1" s="360"/>
      <c r="K1" s="360"/>
      <c r="L1" s="360"/>
      <c r="M1" s="360"/>
      <c r="N1" s="360"/>
      <c r="O1" s="360"/>
      <c r="P1" s="360"/>
      <c r="Q1" s="360"/>
      <c r="R1" s="360"/>
      <c r="S1" s="360"/>
      <c r="T1" s="360"/>
      <c r="U1" s="360"/>
      <c r="V1" s="360"/>
      <c r="W1" s="360"/>
      <c r="X1" s="361"/>
    </row>
    <row r="2" spans="1:136" s="363" customFormat="1" ht="14.25" customHeight="1" x14ac:dyDescent="0.25">
      <c r="B2" s="364" t="s">
        <v>826</v>
      </c>
      <c r="C2" s="364"/>
      <c r="D2" s="364"/>
      <c r="E2" s="364"/>
      <c r="F2" s="364"/>
      <c r="G2" s="364"/>
      <c r="H2" s="364"/>
      <c r="I2" s="364"/>
      <c r="J2" s="364"/>
      <c r="K2" s="364"/>
      <c r="L2" s="364"/>
      <c r="M2" s="364"/>
      <c r="N2" s="364"/>
      <c r="O2" s="364"/>
      <c r="P2" s="364"/>
      <c r="Q2" s="365" t="s">
        <v>927</v>
      </c>
      <c r="R2" s="364"/>
      <c r="S2" s="366"/>
      <c r="T2" s="364"/>
      <c r="U2" s="364"/>
      <c r="V2" s="364"/>
      <c r="W2" s="364"/>
      <c r="X2" s="367"/>
      <c r="CA2" s="366"/>
      <c r="CO2" s="366" t="s">
        <v>828</v>
      </c>
      <c r="EF2" s="367" t="s">
        <v>829</v>
      </c>
    </row>
    <row r="3" spans="1:136" s="368" customFormat="1" ht="12" thickBot="1" x14ac:dyDescent="0.3">
      <c r="Q3" s="369"/>
      <c r="R3" s="369"/>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c r="BA3" s="370"/>
      <c r="BB3" s="370"/>
      <c r="BC3" s="370"/>
      <c r="BD3" s="370"/>
      <c r="BE3" s="370"/>
      <c r="BF3" s="370"/>
      <c r="BG3" s="370"/>
      <c r="BH3" s="370"/>
      <c r="BI3" s="370"/>
      <c r="BJ3" s="370"/>
      <c r="BK3" s="370"/>
      <c r="BL3" s="370"/>
      <c r="BM3" s="370"/>
      <c r="BN3" s="370"/>
      <c r="BO3" s="370"/>
      <c r="BP3" s="370"/>
      <c r="BQ3" s="370"/>
      <c r="BR3" s="370"/>
      <c r="BS3" s="370"/>
      <c r="BT3" s="370"/>
      <c r="BU3" s="370"/>
      <c r="BV3" s="370"/>
      <c r="BW3" s="370"/>
      <c r="BX3" s="370"/>
      <c r="BY3" s="370"/>
      <c r="BZ3" s="370"/>
      <c r="CA3" s="370"/>
      <c r="CB3" s="370"/>
      <c r="CC3" s="370"/>
      <c r="CD3" s="370"/>
      <c r="CE3" s="370"/>
      <c r="CF3" s="370"/>
      <c r="CG3" s="370"/>
      <c r="CH3" s="370"/>
      <c r="CI3" s="370"/>
      <c r="CJ3" s="370"/>
      <c r="CK3" s="370"/>
      <c r="CL3" s="370"/>
      <c r="CM3" s="370"/>
      <c r="CN3" s="370"/>
      <c r="CO3" s="370"/>
      <c r="CP3" s="370"/>
      <c r="CQ3" s="370"/>
      <c r="CR3" s="370"/>
      <c r="CS3" s="370"/>
      <c r="CT3" s="370"/>
      <c r="CU3" s="370"/>
      <c r="CV3" s="370"/>
      <c r="CW3" s="370"/>
      <c r="CX3" s="370"/>
      <c r="CY3" s="370"/>
      <c r="CZ3" s="370"/>
      <c r="DA3" s="370"/>
      <c r="DB3" s="370"/>
      <c r="DC3" s="370"/>
      <c r="DD3" s="370"/>
      <c r="DE3" s="370"/>
      <c r="DF3" s="370"/>
      <c r="DG3" s="370"/>
      <c r="DH3" s="370"/>
      <c r="DI3" s="370"/>
      <c r="DJ3" s="370"/>
      <c r="DK3" s="370"/>
      <c r="DL3" s="370"/>
      <c r="DM3" s="370"/>
      <c r="DN3" s="370"/>
      <c r="DO3" s="370"/>
      <c r="DP3" s="370"/>
      <c r="DQ3" s="370"/>
      <c r="DR3" s="370"/>
      <c r="DS3" s="370"/>
      <c r="DT3" s="370"/>
      <c r="DU3" s="370"/>
      <c r="DV3" s="370"/>
      <c r="DW3" s="370"/>
      <c r="DX3" s="370"/>
      <c r="DY3" s="370"/>
      <c r="DZ3" s="370"/>
      <c r="EA3" s="370"/>
      <c r="EB3" s="370"/>
      <c r="EC3" s="370"/>
      <c r="ED3" s="370"/>
      <c r="EE3" s="370"/>
    </row>
    <row r="4" spans="1:136" s="374" customFormat="1" ht="13.5" thickBot="1" x14ac:dyDescent="0.25">
      <c r="A4" s="371"/>
      <c r="B4" s="372" t="s">
        <v>830</v>
      </c>
      <c r="C4" s="380">
        <v>45413</v>
      </c>
      <c r="D4" s="371"/>
      <c r="E4" s="371"/>
      <c r="F4" s="371"/>
      <c r="G4" s="371"/>
      <c r="H4" s="371"/>
      <c r="I4" s="371"/>
      <c r="J4" s="371"/>
      <c r="K4" s="371"/>
      <c r="L4" s="371"/>
      <c r="M4" s="371"/>
      <c r="N4" s="371"/>
      <c r="O4" s="371"/>
      <c r="P4" s="371"/>
      <c r="Q4" s="372" t="s">
        <v>831</v>
      </c>
      <c r="R4" s="356" t="s">
        <v>832</v>
      </c>
      <c r="S4" s="371"/>
      <c r="T4" s="371"/>
      <c r="U4" s="372" t="s">
        <v>833</v>
      </c>
      <c r="V4" s="373" t="s">
        <v>834</v>
      </c>
      <c r="W4" s="371"/>
    </row>
    <row r="5" spans="1:136" s="368" customFormat="1" ht="12" hidden="1" thickBot="1" x14ac:dyDescent="0.3">
      <c r="Q5" s="369"/>
      <c r="R5" s="375"/>
      <c r="V5" s="376" t="s">
        <v>835</v>
      </c>
      <c r="X5" s="377">
        <f>IF(R4="Quarterly",DATE(YEAR(C4)+R9-1,1,1),IF(R4="Monthly",EDATE(DATE(YEAR(C4),MONTH(C4),1),R9-1),C4-MOD(WEEKDAY(C4,1)-startday,7)+7*(R9-1)))</f>
        <v>45411</v>
      </c>
      <c r="Y5" s="377">
        <f t="shared" ref="Y5:CA5" si="0">X6+1</f>
        <v>45412</v>
      </c>
      <c r="Z5" s="377">
        <f t="shared" si="0"/>
        <v>45413</v>
      </c>
      <c r="AA5" s="377">
        <f t="shared" si="0"/>
        <v>45414</v>
      </c>
      <c r="AB5" s="377">
        <f t="shared" si="0"/>
        <v>45415</v>
      </c>
      <c r="AC5" s="377">
        <f t="shared" si="0"/>
        <v>45416</v>
      </c>
      <c r="AD5" s="377">
        <f t="shared" si="0"/>
        <v>45417</v>
      </c>
      <c r="AE5" s="377">
        <f t="shared" si="0"/>
        <v>45418</v>
      </c>
      <c r="AF5" s="377">
        <f t="shared" si="0"/>
        <v>45419</v>
      </c>
      <c r="AG5" s="377">
        <f t="shared" si="0"/>
        <v>45420</v>
      </c>
      <c r="AH5" s="377">
        <f t="shared" si="0"/>
        <v>45421</v>
      </c>
      <c r="AI5" s="377">
        <f t="shared" si="0"/>
        <v>45422</v>
      </c>
      <c r="AJ5" s="377">
        <f t="shared" si="0"/>
        <v>45423</v>
      </c>
      <c r="AK5" s="377">
        <f t="shared" si="0"/>
        <v>45424</v>
      </c>
      <c r="AL5" s="377">
        <f t="shared" si="0"/>
        <v>45425</v>
      </c>
      <c r="AM5" s="377">
        <f t="shared" si="0"/>
        <v>45426</v>
      </c>
      <c r="AN5" s="377">
        <f t="shared" si="0"/>
        <v>45427</v>
      </c>
      <c r="AO5" s="377">
        <f t="shared" si="0"/>
        <v>45428</v>
      </c>
      <c r="AP5" s="377">
        <f t="shared" si="0"/>
        <v>45429</v>
      </c>
      <c r="AQ5" s="377">
        <f t="shared" si="0"/>
        <v>45430</v>
      </c>
      <c r="AR5" s="377">
        <f t="shared" si="0"/>
        <v>45431</v>
      </c>
      <c r="AS5" s="377">
        <f t="shared" si="0"/>
        <v>45432</v>
      </c>
      <c r="AT5" s="377">
        <f t="shared" si="0"/>
        <v>45433</v>
      </c>
      <c r="AU5" s="377">
        <f t="shared" si="0"/>
        <v>45434</v>
      </c>
      <c r="AV5" s="377">
        <f t="shared" si="0"/>
        <v>45435</v>
      </c>
      <c r="AW5" s="377">
        <f t="shared" si="0"/>
        <v>45436</v>
      </c>
      <c r="AX5" s="377">
        <f t="shared" si="0"/>
        <v>45437</v>
      </c>
      <c r="AY5" s="377">
        <f t="shared" si="0"/>
        <v>45438</v>
      </c>
      <c r="AZ5" s="377">
        <f t="shared" si="0"/>
        <v>45439</v>
      </c>
      <c r="BA5" s="377">
        <f t="shared" si="0"/>
        <v>45440</v>
      </c>
      <c r="BB5" s="377">
        <f t="shared" si="0"/>
        <v>45441</v>
      </c>
      <c r="BC5" s="377">
        <f t="shared" si="0"/>
        <v>45442</v>
      </c>
      <c r="BD5" s="377">
        <f t="shared" si="0"/>
        <v>45443</v>
      </c>
      <c r="BE5" s="377">
        <f t="shared" si="0"/>
        <v>45444</v>
      </c>
      <c r="BF5" s="377">
        <f t="shared" si="0"/>
        <v>45445</v>
      </c>
      <c r="BG5" s="377">
        <f t="shared" si="0"/>
        <v>45446</v>
      </c>
      <c r="BH5" s="377">
        <f t="shared" si="0"/>
        <v>45447</v>
      </c>
      <c r="BI5" s="377">
        <f t="shared" si="0"/>
        <v>45448</v>
      </c>
      <c r="BJ5" s="377">
        <f t="shared" si="0"/>
        <v>45449</v>
      </c>
      <c r="BK5" s="377">
        <f t="shared" si="0"/>
        <v>45450</v>
      </c>
      <c r="BL5" s="377">
        <f t="shared" si="0"/>
        <v>45451</v>
      </c>
      <c r="BM5" s="377">
        <f t="shared" si="0"/>
        <v>45452</v>
      </c>
      <c r="BN5" s="377">
        <f t="shared" si="0"/>
        <v>45453</v>
      </c>
      <c r="BO5" s="377">
        <f t="shared" si="0"/>
        <v>45454</v>
      </c>
      <c r="BP5" s="377">
        <f t="shared" si="0"/>
        <v>45455</v>
      </c>
      <c r="BQ5" s="377">
        <f t="shared" si="0"/>
        <v>45456</v>
      </c>
      <c r="BR5" s="377">
        <f t="shared" si="0"/>
        <v>45457</v>
      </c>
      <c r="BS5" s="377">
        <f t="shared" si="0"/>
        <v>45458</v>
      </c>
      <c r="BT5" s="377">
        <f t="shared" si="0"/>
        <v>45459</v>
      </c>
      <c r="BU5" s="377">
        <f>BT6+1</f>
        <v>45460</v>
      </c>
      <c r="BV5" s="377">
        <f t="shared" si="0"/>
        <v>45461</v>
      </c>
      <c r="BW5" s="377">
        <f t="shared" si="0"/>
        <v>45462</v>
      </c>
      <c r="BX5" s="377">
        <f t="shared" si="0"/>
        <v>45463</v>
      </c>
      <c r="BY5" s="377">
        <f t="shared" si="0"/>
        <v>45464</v>
      </c>
      <c r="BZ5" s="377">
        <f t="shared" si="0"/>
        <v>45465</v>
      </c>
      <c r="CA5" s="377">
        <f t="shared" si="0"/>
        <v>45466</v>
      </c>
      <c r="CB5" s="377">
        <f>CA6+1</f>
        <v>45467</v>
      </c>
      <c r="CC5" s="377">
        <f t="shared" ref="CC5:CH5" si="1">CB6+1</f>
        <v>45468</v>
      </c>
      <c r="CD5" s="377">
        <f t="shared" si="1"/>
        <v>45469</v>
      </c>
      <c r="CE5" s="377">
        <f t="shared" si="1"/>
        <v>45470</v>
      </c>
      <c r="CF5" s="377">
        <f t="shared" si="1"/>
        <v>45471</v>
      </c>
      <c r="CG5" s="377">
        <f t="shared" si="1"/>
        <v>45472</v>
      </c>
      <c r="CH5" s="377">
        <f t="shared" si="1"/>
        <v>45473</v>
      </c>
      <c r="CI5" s="377">
        <f>CH6+1</f>
        <v>45474</v>
      </c>
      <c r="CJ5" s="377">
        <f t="shared" ref="CJ5:EE5" si="2">CI6+1</f>
        <v>45475</v>
      </c>
      <c r="CK5" s="377">
        <f t="shared" si="2"/>
        <v>45476</v>
      </c>
      <c r="CL5" s="377">
        <f t="shared" si="2"/>
        <v>45477</v>
      </c>
      <c r="CM5" s="377">
        <f t="shared" si="2"/>
        <v>45478</v>
      </c>
      <c r="CN5" s="377">
        <f t="shared" si="2"/>
        <v>45479</v>
      </c>
      <c r="CO5" s="377">
        <f t="shared" si="2"/>
        <v>45480</v>
      </c>
      <c r="CP5" s="377">
        <f t="shared" si="2"/>
        <v>45481</v>
      </c>
      <c r="CQ5" s="377">
        <f t="shared" si="2"/>
        <v>45482</v>
      </c>
      <c r="CR5" s="377">
        <f t="shared" si="2"/>
        <v>45483</v>
      </c>
      <c r="CS5" s="377">
        <f t="shared" si="2"/>
        <v>45484</v>
      </c>
      <c r="CT5" s="377">
        <f t="shared" si="2"/>
        <v>45485</v>
      </c>
      <c r="CU5" s="377">
        <f t="shared" si="2"/>
        <v>45486</v>
      </c>
      <c r="CV5" s="377">
        <f t="shared" si="2"/>
        <v>45487</v>
      </c>
      <c r="CW5" s="377">
        <f t="shared" si="2"/>
        <v>45488</v>
      </c>
      <c r="CX5" s="377">
        <f t="shared" si="2"/>
        <v>45489</v>
      </c>
      <c r="CY5" s="377">
        <f t="shared" si="2"/>
        <v>45490</v>
      </c>
      <c r="CZ5" s="377">
        <f t="shared" si="2"/>
        <v>45491</v>
      </c>
      <c r="DA5" s="377">
        <f t="shared" si="2"/>
        <v>45492</v>
      </c>
      <c r="DB5" s="377">
        <f t="shared" si="2"/>
        <v>45493</v>
      </c>
      <c r="DC5" s="377">
        <f t="shared" si="2"/>
        <v>45494</v>
      </c>
      <c r="DD5" s="377">
        <f t="shared" si="2"/>
        <v>45495</v>
      </c>
      <c r="DE5" s="377">
        <f t="shared" si="2"/>
        <v>45496</v>
      </c>
      <c r="DF5" s="377">
        <f t="shared" si="2"/>
        <v>45497</v>
      </c>
      <c r="DG5" s="377">
        <f t="shared" si="2"/>
        <v>45498</v>
      </c>
      <c r="DH5" s="377">
        <f t="shared" si="2"/>
        <v>45499</v>
      </c>
      <c r="DI5" s="377">
        <f t="shared" si="2"/>
        <v>45500</v>
      </c>
      <c r="DJ5" s="377">
        <f t="shared" si="2"/>
        <v>45501</v>
      </c>
      <c r="DK5" s="377">
        <f t="shared" si="2"/>
        <v>45502</v>
      </c>
      <c r="DL5" s="377">
        <f t="shared" si="2"/>
        <v>45503</v>
      </c>
      <c r="DM5" s="377">
        <f t="shared" si="2"/>
        <v>45504</v>
      </c>
      <c r="DN5" s="377">
        <f t="shared" si="2"/>
        <v>45505</v>
      </c>
      <c r="DO5" s="377">
        <f t="shared" si="2"/>
        <v>45506</v>
      </c>
      <c r="DP5" s="377">
        <f t="shared" si="2"/>
        <v>45507</v>
      </c>
      <c r="DQ5" s="377">
        <f t="shared" si="2"/>
        <v>45508</v>
      </c>
      <c r="DR5" s="377">
        <f t="shared" si="2"/>
        <v>45509</v>
      </c>
      <c r="DS5" s="377">
        <f t="shared" si="2"/>
        <v>45510</v>
      </c>
      <c r="DT5" s="377">
        <f t="shared" si="2"/>
        <v>45511</v>
      </c>
      <c r="DU5" s="377">
        <f t="shared" si="2"/>
        <v>45512</v>
      </c>
      <c r="DV5" s="377">
        <f t="shared" si="2"/>
        <v>45513</v>
      </c>
      <c r="DW5" s="377">
        <f t="shared" si="2"/>
        <v>45514</v>
      </c>
      <c r="DX5" s="377">
        <f t="shared" si="2"/>
        <v>45515</v>
      </c>
      <c r="DY5" s="377">
        <f t="shared" si="2"/>
        <v>45516</v>
      </c>
      <c r="DZ5" s="377">
        <f t="shared" si="2"/>
        <v>45517</v>
      </c>
      <c r="EA5" s="377">
        <f t="shared" si="2"/>
        <v>45518</v>
      </c>
      <c r="EB5" s="377">
        <f t="shared" si="2"/>
        <v>45519</v>
      </c>
      <c r="EC5" s="377">
        <f t="shared" si="2"/>
        <v>45520</v>
      </c>
      <c r="ED5" s="377">
        <f t="shared" si="2"/>
        <v>45521</v>
      </c>
      <c r="EE5" s="377">
        <f t="shared" si="2"/>
        <v>45522</v>
      </c>
    </row>
    <row r="6" spans="1:136" s="368" customFormat="1" ht="12" hidden="1" thickBot="1" x14ac:dyDescent="0.3">
      <c r="Q6" s="369"/>
      <c r="R6" s="378"/>
      <c r="V6" s="376" t="s">
        <v>836</v>
      </c>
      <c r="X6" s="377">
        <f t="shared" ref="X6:CI6" si="3">IF($R$4="Monthly",EDATE(X5,1),IF($R$4="Daily",X5+1,IF($R$4="Quarterly",EDATE(X5,3),X5+7)))-1</f>
        <v>45411</v>
      </c>
      <c r="Y6" s="377">
        <f t="shared" si="3"/>
        <v>45412</v>
      </c>
      <c r="Z6" s="377">
        <f t="shared" si="3"/>
        <v>45413</v>
      </c>
      <c r="AA6" s="377">
        <f t="shared" si="3"/>
        <v>45414</v>
      </c>
      <c r="AB6" s="377">
        <f t="shared" si="3"/>
        <v>45415</v>
      </c>
      <c r="AC6" s="377">
        <f t="shared" si="3"/>
        <v>45416</v>
      </c>
      <c r="AD6" s="377">
        <f t="shared" si="3"/>
        <v>45417</v>
      </c>
      <c r="AE6" s="377">
        <f t="shared" si="3"/>
        <v>45418</v>
      </c>
      <c r="AF6" s="377">
        <f t="shared" si="3"/>
        <v>45419</v>
      </c>
      <c r="AG6" s="377">
        <f t="shared" si="3"/>
        <v>45420</v>
      </c>
      <c r="AH6" s="377">
        <f t="shared" si="3"/>
        <v>45421</v>
      </c>
      <c r="AI6" s="377">
        <f t="shared" si="3"/>
        <v>45422</v>
      </c>
      <c r="AJ6" s="377">
        <f t="shared" si="3"/>
        <v>45423</v>
      </c>
      <c r="AK6" s="377">
        <f t="shared" si="3"/>
        <v>45424</v>
      </c>
      <c r="AL6" s="377">
        <f t="shared" si="3"/>
        <v>45425</v>
      </c>
      <c r="AM6" s="377">
        <f t="shared" si="3"/>
        <v>45426</v>
      </c>
      <c r="AN6" s="377">
        <f t="shared" si="3"/>
        <v>45427</v>
      </c>
      <c r="AO6" s="377">
        <f t="shared" si="3"/>
        <v>45428</v>
      </c>
      <c r="AP6" s="377">
        <f t="shared" si="3"/>
        <v>45429</v>
      </c>
      <c r="AQ6" s="377">
        <f t="shared" si="3"/>
        <v>45430</v>
      </c>
      <c r="AR6" s="377">
        <f t="shared" si="3"/>
        <v>45431</v>
      </c>
      <c r="AS6" s="377">
        <f t="shared" si="3"/>
        <v>45432</v>
      </c>
      <c r="AT6" s="377">
        <f t="shared" si="3"/>
        <v>45433</v>
      </c>
      <c r="AU6" s="377">
        <f t="shared" si="3"/>
        <v>45434</v>
      </c>
      <c r="AV6" s="377">
        <f t="shared" si="3"/>
        <v>45435</v>
      </c>
      <c r="AW6" s="377">
        <f t="shared" si="3"/>
        <v>45436</v>
      </c>
      <c r="AX6" s="377">
        <f t="shared" si="3"/>
        <v>45437</v>
      </c>
      <c r="AY6" s="377">
        <f t="shared" si="3"/>
        <v>45438</v>
      </c>
      <c r="AZ6" s="377">
        <f t="shared" si="3"/>
        <v>45439</v>
      </c>
      <c r="BA6" s="377">
        <f t="shared" si="3"/>
        <v>45440</v>
      </c>
      <c r="BB6" s="377">
        <f t="shared" si="3"/>
        <v>45441</v>
      </c>
      <c r="BC6" s="377">
        <f t="shared" si="3"/>
        <v>45442</v>
      </c>
      <c r="BD6" s="377">
        <f t="shared" si="3"/>
        <v>45443</v>
      </c>
      <c r="BE6" s="377">
        <f t="shared" si="3"/>
        <v>45444</v>
      </c>
      <c r="BF6" s="377">
        <f t="shared" si="3"/>
        <v>45445</v>
      </c>
      <c r="BG6" s="377">
        <f t="shared" si="3"/>
        <v>45446</v>
      </c>
      <c r="BH6" s="377">
        <f t="shared" si="3"/>
        <v>45447</v>
      </c>
      <c r="BI6" s="377">
        <f t="shared" si="3"/>
        <v>45448</v>
      </c>
      <c r="BJ6" s="377">
        <f t="shared" si="3"/>
        <v>45449</v>
      </c>
      <c r="BK6" s="377">
        <f t="shared" si="3"/>
        <v>45450</v>
      </c>
      <c r="BL6" s="377">
        <f t="shared" si="3"/>
        <v>45451</v>
      </c>
      <c r="BM6" s="377">
        <f t="shared" si="3"/>
        <v>45452</v>
      </c>
      <c r="BN6" s="377">
        <f t="shared" si="3"/>
        <v>45453</v>
      </c>
      <c r="BO6" s="377">
        <f t="shared" si="3"/>
        <v>45454</v>
      </c>
      <c r="BP6" s="377">
        <f t="shared" si="3"/>
        <v>45455</v>
      </c>
      <c r="BQ6" s="377">
        <f t="shared" si="3"/>
        <v>45456</v>
      </c>
      <c r="BR6" s="377">
        <f t="shared" si="3"/>
        <v>45457</v>
      </c>
      <c r="BS6" s="377">
        <f t="shared" si="3"/>
        <v>45458</v>
      </c>
      <c r="BT6" s="377">
        <f t="shared" si="3"/>
        <v>45459</v>
      </c>
      <c r="BU6" s="377">
        <f t="shared" si="3"/>
        <v>45460</v>
      </c>
      <c r="BV6" s="377">
        <f t="shared" si="3"/>
        <v>45461</v>
      </c>
      <c r="BW6" s="377">
        <f t="shared" si="3"/>
        <v>45462</v>
      </c>
      <c r="BX6" s="377">
        <f t="shared" si="3"/>
        <v>45463</v>
      </c>
      <c r="BY6" s="377">
        <f t="shared" si="3"/>
        <v>45464</v>
      </c>
      <c r="BZ6" s="377">
        <f t="shared" si="3"/>
        <v>45465</v>
      </c>
      <c r="CA6" s="377">
        <f t="shared" si="3"/>
        <v>45466</v>
      </c>
      <c r="CB6" s="377">
        <f t="shared" si="3"/>
        <v>45467</v>
      </c>
      <c r="CC6" s="377">
        <f t="shared" si="3"/>
        <v>45468</v>
      </c>
      <c r="CD6" s="377">
        <f t="shared" si="3"/>
        <v>45469</v>
      </c>
      <c r="CE6" s="377">
        <f t="shared" si="3"/>
        <v>45470</v>
      </c>
      <c r="CF6" s="377">
        <f t="shared" si="3"/>
        <v>45471</v>
      </c>
      <c r="CG6" s="377">
        <f t="shared" si="3"/>
        <v>45472</v>
      </c>
      <c r="CH6" s="377">
        <f t="shared" si="3"/>
        <v>45473</v>
      </c>
      <c r="CI6" s="377">
        <f t="shared" si="3"/>
        <v>45474</v>
      </c>
      <c r="CJ6" s="377">
        <f t="shared" ref="CJ6:EE6" si="4">IF($R$4="Monthly",EDATE(CJ5,1),IF($R$4="Daily",CJ5+1,IF($R$4="Quarterly",EDATE(CJ5,3),CJ5+7)))-1</f>
        <v>45475</v>
      </c>
      <c r="CK6" s="377">
        <f t="shared" si="4"/>
        <v>45476</v>
      </c>
      <c r="CL6" s="377">
        <f t="shared" si="4"/>
        <v>45477</v>
      </c>
      <c r="CM6" s="377">
        <f t="shared" si="4"/>
        <v>45478</v>
      </c>
      <c r="CN6" s="377">
        <f t="shared" si="4"/>
        <v>45479</v>
      </c>
      <c r="CO6" s="377">
        <f t="shared" si="4"/>
        <v>45480</v>
      </c>
      <c r="CP6" s="377">
        <f t="shared" si="4"/>
        <v>45481</v>
      </c>
      <c r="CQ6" s="377">
        <f t="shared" si="4"/>
        <v>45482</v>
      </c>
      <c r="CR6" s="377">
        <f t="shared" si="4"/>
        <v>45483</v>
      </c>
      <c r="CS6" s="377">
        <f t="shared" si="4"/>
        <v>45484</v>
      </c>
      <c r="CT6" s="377">
        <f t="shared" si="4"/>
        <v>45485</v>
      </c>
      <c r="CU6" s="377">
        <f t="shared" si="4"/>
        <v>45486</v>
      </c>
      <c r="CV6" s="377">
        <f t="shared" si="4"/>
        <v>45487</v>
      </c>
      <c r="CW6" s="377">
        <f t="shared" si="4"/>
        <v>45488</v>
      </c>
      <c r="CX6" s="377">
        <f t="shared" si="4"/>
        <v>45489</v>
      </c>
      <c r="CY6" s="377">
        <f t="shared" si="4"/>
        <v>45490</v>
      </c>
      <c r="CZ6" s="377">
        <f t="shared" si="4"/>
        <v>45491</v>
      </c>
      <c r="DA6" s="377">
        <f t="shared" si="4"/>
        <v>45492</v>
      </c>
      <c r="DB6" s="377">
        <f t="shared" si="4"/>
        <v>45493</v>
      </c>
      <c r="DC6" s="377">
        <f t="shared" si="4"/>
        <v>45494</v>
      </c>
      <c r="DD6" s="377">
        <f t="shared" si="4"/>
        <v>45495</v>
      </c>
      <c r="DE6" s="377">
        <f t="shared" si="4"/>
        <v>45496</v>
      </c>
      <c r="DF6" s="377">
        <f t="shared" si="4"/>
        <v>45497</v>
      </c>
      <c r="DG6" s="377">
        <f t="shared" si="4"/>
        <v>45498</v>
      </c>
      <c r="DH6" s="377">
        <f t="shared" si="4"/>
        <v>45499</v>
      </c>
      <c r="DI6" s="377">
        <f t="shared" si="4"/>
        <v>45500</v>
      </c>
      <c r="DJ6" s="377">
        <f t="shared" si="4"/>
        <v>45501</v>
      </c>
      <c r="DK6" s="377">
        <f t="shared" si="4"/>
        <v>45502</v>
      </c>
      <c r="DL6" s="377">
        <f t="shared" si="4"/>
        <v>45503</v>
      </c>
      <c r="DM6" s="377">
        <f t="shared" si="4"/>
        <v>45504</v>
      </c>
      <c r="DN6" s="377">
        <f t="shared" si="4"/>
        <v>45505</v>
      </c>
      <c r="DO6" s="377">
        <f t="shared" si="4"/>
        <v>45506</v>
      </c>
      <c r="DP6" s="377">
        <f t="shared" si="4"/>
        <v>45507</v>
      </c>
      <c r="DQ6" s="377">
        <f t="shared" si="4"/>
        <v>45508</v>
      </c>
      <c r="DR6" s="377">
        <f t="shared" si="4"/>
        <v>45509</v>
      </c>
      <c r="DS6" s="377">
        <f t="shared" si="4"/>
        <v>45510</v>
      </c>
      <c r="DT6" s="377">
        <f t="shared" si="4"/>
        <v>45511</v>
      </c>
      <c r="DU6" s="377">
        <f t="shared" si="4"/>
        <v>45512</v>
      </c>
      <c r="DV6" s="377">
        <f t="shared" si="4"/>
        <v>45513</v>
      </c>
      <c r="DW6" s="377">
        <f t="shared" si="4"/>
        <v>45514</v>
      </c>
      <c r="DX6" s="377">
        <f t="shared" si="4"/>
        <v>45515</v>
      </c>
      <c r="DY6" s="377">
        <f t="shared" si="4"/>
        <v>45516</v>
      </c>
      <c r="DZ6" s="377">
        <f t="shared" si="4"/>
        <v>45517</v>
      </c>
      <c r="EA6" s="377">
        <f t="shared" si="4"/>
        <v>45518</v>
      </c>
      <c r="EB6" s="377">
        <f t="shared" si="4"/>
        <v>45519</v>
      </c>
      <c r="EC6" s="377">
        <f t="shared" si="4"/>
        <v>45520</v>
      </c>
      <c r="ED6" s="377">
        <f t="shared" si="4"/>
        <v>45521</v>
      </c>
      <c r="EE6" s="377">
        <f t="shared" si="4"/>
        <v>45522</v>
      </c>
    </row>
    <row r="7" spans="1:136" s="368" customFormat="1" ht="12" hidden="1" thickBot="1" x14ac:dyDescent="0.3">
      <c r="Q7" s="369"/>
      <c r="R7" s="378"/>
      <c r="V7" s="376" t="s">
        <v>837</v>
      </c>
      <c r="X7" s="370">
        <f t="shared" ref="X7:BC7" si="5">IF($R$4="Daily",1*(NOT(ISERROR(MATCH(X5,holidays,0)))),0)</f>
        <v>0</v>
      </c>
      <c r="Y7" s="370">
        <f t="shared" si="5"/>
        <v>0</v>
      </c>
      <c r="Z7" s="370">
        <f t="shared" si="5"/>
        <v>0</v>
      </c>
      <c r="AA7" s="370">
        <f t="shared" si="5"/>
        <v>0</v>
      </c>
      <c r="AB7" s="370">
        <f t="shared" si="5"/>
        <v>0</v>
      </c>
      <c r="AC7" s="370">
        <f t="shared" si="5"/>
        <v>0</v>
      </c>
      <c r="AD7" s="370">
        <f t="shared" si="5"/>
        <v>0</v>
      </c>
      <c r="AE7" s="370">
        <f t="shared" si="5"/>
        <v>1</v>
      </c>
      <c r="AF7" s="370">
        <f t="shared" si="5"/>
        <v>0</v>
      </c>
      <c r="AG7" s="370">
        <f t="shared" si="5"/>
        <v>0</v>
      </c>
      <c r="AH7" s="370">
        <f t="shared" si="5"/>
        <v>0</v>
      </c>
      <c r="AI7" s="370">
        <f t="shared" si="5"/>
        <v>0</v>
      </c>
      <c r="AJ7" s="370">
        <f t="shared" si="5"/>
        <v>0</v>
      </c>
      <c r="AK7" s="370">
        <f t="shared" si="5"/>
        <v>0</v>
      </c>
      <c r="AL7" s="370">
        <f t="shared" si="5"/>
        <v>0</v>
      </c>
      <c r="AM7" s="370">
        <f t="shared" si="5"/>
        <v>0</v>
      </c>
      <c r="AN7" s="370">
        <f t="shared" si="5"/>
        <v>0</v>
      </c>
      <c r="AO7" s="370">
        <f t="shared" si="5"/>
        <v>0</v>
      </c>
      <c r="AP7" s="370">
        <f t="shared" si="5"/>
        <v>0</v>
      </c>
      <c r="AQ7" s="370">
        <f t="shared" si="5"/>
        <v>0</v>
      </c>
      <c r="AR7" s="370">
        <f t="shared" si="5"/>
        <v>0</v>
      </c>
      <c r="AS7" s="370">
        <f t="shared" si="5"/>
        <v>0</v>
      </c>
      <c r="AT7" s="370">
        <f t="shared" si="5"/>
        <v>0</v>
      </c>
      <c r="AU7" s="370">
        <f t="shared" si="5"/>
        <v>0</v>
      </c>
      <c r="AV7" s="370">
        <f t="shared" si="5"/>
        <v>0</v>
      </c>
      <c r="AW7" s="370">
        <f t="shared" si="5"/>
        <v>0</v>
      </c>
      <c r="AX7" s="370">
        <f t="shared" si="5"/>
        <v>0</v>
      </c>
      <c r="AY7" s="370">
        <f t="shared" si="5"/>
        <v>0</v>
      </c>
      <c r="AZ7" s="370">
        <f t="shared" si="5"/>
        <v>1</v>
      </c>
      <c r="BA7" s="370">
        <f t="shared" si="5"/>
        <v>0</v>
      </c>
      <c r="BB7" s="370">
        <f t="shared" si="5"/>
        <v>0</v>
      </c>
      <c r="BC7" s="370">
        <f t="shared" si="5"/>
        <v>0</v>
      </c>
      <c r="BD7" s="370">
        <f t="shared" ref="BD7:CA7" si="6">IF($R$4="Daily",1*(NOT(ISERROR(MATCH(BD5,holidays,0)))),0)</f>
        <v>0</v>
      </c>
      <c r="BE7" s="370">
        <f t="shared" si="6"/>
        <v>0</v>
      </c>
      <c r="BF7" s="370">
        <f t="shared" si="6"/>
        <v>0</v>
      </c>
      <c r="BG7" s="370">
        <f t="shared" si="6"/>
        <v>0</v>
      </c>
      <c r="BH7" s="370">
        <f t="shared" si="6"/>
        <v>0</v>
      </c>
      <c r="BI7" s="370">
        <f t="shared" si="6"/>
        <v>0</v>
      </c>
      <c r="BJ7" s="370">
        <f t="shared" si="6"/>
        <v>0</v>
      </c>
      <c r="BK7" s="370">
        <f t="shared" si="6"/>
        <v>0</v>
      </c>
      <c r="BL7" s="370">
        <f t="shared" si="6"/>
        <v>0</v>
      </c>
      <c r="BM7" s="370">
        <f t="shared" si="6"/>
        <v>0</v>
      </c>
      <c r="BN7" s="370">
        <f t="shared" si="6"/>
        <v>0</v>
      </c>
      <c r="BO7" s="370">
        <f t="shared" si="6"/>
        <v>0</v>
      </c>
      <c r="BP7" s="370">
        <f t="shared" si="6"/>
        <v>0</v>
      </c>
      <c r="BQ7" s="370">
        <f t="shared" si="6"/>
        <v>0</v>
      </c>
      <c r="BR7" s="370">
        <f t="shared" si="6"/>
        <v>0</v>
      </c>
      <c r="BS7" s="370">
        <f t="shared" si="6"/>
        <v>0</v>
      </c>
      <c r="BT7" s="370">
        <f t="shared" si="6"/>
        <v>0</v>
      </c>
      <c r="BU7" s="370">
        <f t="shared" si="6"/>
        <v>0</v>
      </c>
      <c r="BV7" s="370">
        <f t="shared" si="6"/>
        <v>0</v>
      </c>
      <c r="BW7" s="370">
        <f t="shared" si="6"/>
        <v>0</v>
      </c>
      <c r="BX7" s="370">
        <f t="shared" si="6"/>
        <v>0</v>
      </c>
      <c r="BY7" s="370">
        <f t="shared" si="6"/>
        <v>0</v>
      </c>
      <c r="BZ7" s="370">
        <f t="shared" si="6"/>
        <v>0</v>
      </c>
      <c r="CA7" s="370">
        <f t="shared" si="6"/>
        <v>0</v>
      </c>
      <c r="CB7" s="370">
        <f t="shared" ref="CB7:CH7" si="7">IF($R$4="Daily",1*(NOT(ISERROR(MATCH(CB5,holidays,0)))),0)</f>
        <v>0</v>
      </c>
      <c r="CC7" s="370">
        <f t="shared" si="7"/>
        <v>0</v>
      </c>
      <c r="CD7" s="370">
        <f t="shared" si="7"/>
        <v>0</v>
      </c>
      <c r="CE7" s="370">
        <f t="shared" si="7"/>
        <v>0</v>
      </c>
      <c r="CF7" s="370">
        <f t="shared" si="7"/>
        <v>0</v>
      </c>
      <c r="CG7" s="370">
        <f t="shared" si="7"/>
        <v>0</v>
      </c>
      <c r="CH7" s="370">
        <f t="shared" si="7"/>
        <v>0</v>
      </c>
      <c r="CI7" s="370">
        <f t="shared" ref="CI7:CO7" si="8">IF($R$4="Daily",1*(NOT(ISERROR(MATCH(CI5,holidays,0)))),0)</f>
        <v>0</v>
      </c>
      <c r="CJ7" s="370">
        <f t="shared" si="8"/>
        <v>0</v>
      </c>
      <c r="CK7" s="370">
        <f t="shared" si="8"/>
        <v>0</v>
      </c>
      <c r="CL7" s="370">
        <f t="shared" si="8"/>
        <v>1</v>
      </c>
      <c r="CM7" s="370">
        <f t="shared" si="8"/>
        <v>0</v>
      </c>
      <c r="CN7" s="370">
        <f t="shared" si="8"/>
        <v>0</v>
      </c>
      <c r="CO7" s="370">
        <f t="shared" si="8"/>
        <v>0</v>
      </c>
      <c r="CP7" s="370">
        <f t="shared" ref="CP7:DC7" si="9">IF($R$4="Daily",1*(NOT(ISERROR(MATCH(CP5,holidays,0)))),0)</f>
        <v>0</v>
      </c>
      <c r="CQ7" s="370">
        <f t="shared" si="9"/>
        <v>0</v>
      </c>
      <c r="CR7" s="370">
        <f t="shared" si="9"/>
        <v>0</v>
      </c>
      <c r="CS7" s="370">
        <f t="shared" si="9"/>
        <v>0</v>
      </c>
      <c r="CT7" s="370">
        <f t="shared" si="9"/>
        <v>0</v>
      </c>
      <c r="CU7" s="370">
        <f t="shared" si="9"/>
        <v>0</v>
      </c>
      <c r="CV7" s="370">
        <f t="shared" si="9"/>
        <v>0</v>
      </c>
      <c r="CW7" s="370">
        <f t="shared" si="9"/>
        <v>0</v>
      </c>
      <c r="CX7" s="370">
        <f t="shared" si="9"/>
        <v>0</v>
      </c>
      <c r="CY7" s="370">
        <f t="shared" si="9"/>
        <v>0</v>
      </c>
      <c r="CZ7" s="370">
        <f t="shared" si="9"/>
        <v>0</v>
      </c>
      <c r="DA7" s="370">
        <f t="shared" si="9"/>
        <v>0</v>
      </c>
      <c r="DB7" s="370">
        <f t="shared" si="9"/>
        <v>0</v>
      </c>
      <c r="DC7" s="370">
        <f t="shared" si="9"/>
        <v>0</v>
      </c>
      <c r="DD7" s="370">
        <f t="shared" ref="DD7:DQ7" si="10">IF($R$4="Daily",1*(NOT(ISERROR(MATCH(DD5,holidays,0)))),0)</f>
        <v>0</v>
      </c>
      <c r="DE7" s="370">
        <f t="shared" si="10"/>
        <v>0</v>
      </c>
      <c r="DF7" s="370">
        <f t="shared" si="10"/>
        <v>0</v>
      </c>
      <c r="DG7" s="370">
        <f t="shared" si="10"/>
        <v>0</v>
      </c>
      <c r="DH7" s="370">
        <f t="shared" si="10"/>
        <v>0</v>
      </c>
      <c r="DI7" s="370">
        <f t="shared" si="10"/>
        <v>0</v>
      </c>
      <c r="DJ7" s="370">
        <f t="shared" si="10"/>
        <v>0</v>
      </c>
      <c r="DK7" s="370">
        <f t="shared" si="10"/>
        <v>0</v>
      </c>
      <c r="DL7" s="370">
        <f t="shared" si="10"/>
        <v>0</v>
      </c>
      <c r="DM7" s="370">
        <f t="shared" si="10"/>
        <v>0</v>
      </c>
      <c r="DN7" s="370">
        <f t="shared" si="10"/>
        <v>0</v>
      </c>
      <c r="DO7" s="370">
        <f t="shared" si="10"/>
        <v>0</v>
      </c>
      <c r="DP7" s="370">
        <f t="shared" si="10"/>
        <v>0</v>
      </c>
      <c r="DQ7" s="370">
        <f t="shared" si="10"/>
        <v>0</v>
      </c>
      <c r="DR7" s="370">
        <f t="shared" ref="DR7:EE7" si="11">IF($R$4="Daily",1*(NOT(ISERROR(MATCH(DR5,holidays,0)))),0)</f>
        <v>1</v>
      </c>
      <c r="DS7" s="370">
        <f t="shared" si="11"/>
        <v>0</v>
      </c>
      <c r="DT7" s="370">
        <f t="shared" si="11"/>
        <v>0</v>
      </c>
      <c r="DU7" s="370">
        <f t="shared" si="11"/>
        <v>0</v>
      </c>
      <c r="DV7" s="370">
        <f t="shared" si="11"/>
        <v>0</v>
      </c>
      <c r="DW7" s="370">
        <f t="shared" si="11"/>
        <v>0</v>
      </c>
      <c r="DX7" s="370">
        <f t="shared" si="11"/>
        <v>0</v>
      </c>
      <c r="DY7" s="370">
        <f t="shared" si="11"/>
        <v>0</v>
      </c>
      <c r="DZ7" s="370">
        <f t="shared" si="11"/>
        <v>0</v>
      </c>
      <c r="EA7" s="370">
        <f t="shared" si="11"/>
        <v>0</v>
      </c>
      <c r="EB7" s="370">
        <f t="shared" si="11"/>
        <v>0</v>
      </c>
      <c r="EC7" s="370">
        <f t="shared" si="11"/>
        <v>0</v>
      </c>
      <c r="ED7" s="370">
        <f t="shared" si="11"/>
        <v>0</v>
      </c>
      <c r="EE7" s="370">
        <f t="shared" si="11"/>
        <v>0</v>
      </c>
    </row>
    <row r="8" spans="1:136" s="368" customFormat="1" ht="12" hidden="1" thickBot="1" x14ac:dyDescent="0.3">
      <c r="Q8" s="369"/>
      <c r="R8" s="379"/>
      <c r="V8" s="376" t="s">
        <v>838</v>
      </c>
      <c r="X8" s="370">
        <f t="shared" ref="X8:BC8" si="12">IF($R$4="Daily",1*(NETWORKDAYS.INTL(X5,X5,weekend,holidays)=0),0)</f>
        <v>0</v>
      </c>
      <c r="Y8" s="370">
        <f t="shared" si="12"/>
        <v>0</v>
      </c>
      <c r="Z8" s="370">
        <f t="shared" si="12"/>
        <v>0</v>
      </c>
      <c r="AA8" s="370">
        <f t="shared" si="12"/>
        <v>0</v>
      </c>
      <c r="AB8" s="370">
        <f t="shared" si="12"/>
        <v>0</v>
      </c>
      <c r="AC8" s="370">
        <f t="shared" si="12"/>
        <v>1</v>
      </c>
      <c r="AD8" s="370">
        <f t="shared" si="12"/>
        <v>1</v>
      </c>
      <c r="AE8" s="370">
        <f t="shared" si="12"/>
        <v>1</v>
      </c>
      <c r="AF8" s="370">
        <f t="shared" si="12"/>
        <v>0</v>
      </c>
      <c r="AG8" s="370">
        <f t="shared" si="12"/>
        <v>0</v>
      </c>
      <c r="AH8" s="370">
        <f t="shared" si="12"/>
        <v>0</v>
      </c>
      <c r="AI8" s="370">
        <f t="shared" si="12"/>
        <v>0</v>
      </c>
      <c r="AJ8" s="370">
        <f t="shared" si="12"/>
        <v>1</v>
      </c>
      <c r="AK8" s="370">
        <f t="shared" si="12"/>
        <v>1</v>
      </c>
      <c r="AL8" s="370">
        <f t="shared" si="12"/>
        <v>0</v>
      </c>
      <c r="AM8" s="370">
        <f t="shared" si="12"/>
        <v>0</v>
      </c>
      <c r="AN8" s="370">
        <f t="shared" si="12"/>
        <v>0</v>
      </c>
      <c r="AO8" s="370">
        <f t="shared" si="12"/>
        <v>0</v>
      </c>
      <c r="AP8" s="370">
        <f t="shared" si="12"/>
        <v>0</v>
      </c>
      <c r="AQ8" s="370">
        <f t="shared" si="12"/>
        <v>1</v>
      </c>
      <c r="AR8" s="370">
        <f t="shared" si="12"/>
        <v>1</v>
      </c>
      <c r="AS8" s="370">
        <f t="shared" si="12"/>
        <v>0</v>
      </c>
      <c r="AT8" s="370">
        <f t="shared" si="12"/>
        <v>0</v>
      </c>
      <c r="AU8" s="370">
        <f t="shared" si="12"/>
        <v>0</v>
      </c>
      <c r="AV8" s="370">
        <f t="shared" si="12"/>
        <v>0</v>
      </c>
      <c r="AW8" s="370">
        <f t="shared" si="12"/>
        <v>0</v>
      </c>
      <c r="AX8" s="370">
        <f t="shared" si="12"/>
        <v>1</v>
      </c>
      <c r="AY8" s="370">
        <f t="shared" si="12"/>
        <v>1</v>
      </c>
      <c r="AZ8" s="370">
        <f t="shared" si="12"/>
        <v>1</v>
      </c>
      <c r="BA8" s="370">
        <f t="shared" si="12"/>
        <v>0</v>
      </c>
      <c r="BB8" s="370">
        <f t="shared" si="12"/>
        <v>0</v>
      </c>
      <c r="BC8" s="370">
        <f t="shared" si="12"/>
        <v>0</v>
      </c>
      <c r="BD8" s="370">
        <f t="shared" ref="BD8:CA8" si="13">IF($R$4="Daily",1*(NETWORKDAYS.INTL(BD5,BD5,weekend,holidays)=0),0)</f>
        <v>0</v>
      </c>
      <c r="BE8" s="370">
        <f t="shared" si="13"/>
        <v>1</v>
      </c>
      <c r="BF8" s="370">
        <f t="shared" si="13"/>
        <v>1</v>
      </c>
      <c r="BG8" s="370">
        <f t="shared" si="13"/>
        <v>0</v>
      </c>
      <c r="BH8" s="370">
        <f t="shared" si="13"/>
        <v>0</v>
      </c>
      <c r="BI8" s="370">
        <f t="shared" si="13"/>
        <v>0</v>
      </c>
      <c r="BJ8" s="370">
        <f t="shared" si="13"/>
        <v>0</v>
      </c>
      <c r="BK8" s="370">
        <f t="shared" si="13"/>
        <v>0</v>
      </c>
      <c r="BL8" s="370">
        <f t="shared" si="13"/>
        <v>1</v>
      </c>
      <c r="BM8" s="370">
        <f t="shared" si="13"/>
        <v>1</v>
      </c>
      <c r="BN8" s="370">
        <f t="shared" si="13"/>
        <v>0</v>
      </c>
      <c r="BO8" s="370">
        <f t="shared" si="13"/>
        <v>0</v>
      </c>
      <c r="BP8" s="370">
        <f t="shared" si="13"/>
        <v>0</v>
      </c>
      <c r="BQ8" s="370">
        <f t="shared" si="13"/>
        <v>0</v>
      </c>
      <c r="BR8" s="370">
        <f t="shared" si="13"/>
        <v>0</v>
      </c>
      <c r="BS8" s="370">
        <f t="shared" si="13"/>
        <v>1</v>
      </c>
      <c r="BT8" s="370">
        <f t="shared" si="13"/>
        <v>1</v>
      </c>
      <c r="BU8" s="370">
        <f t="shared" si="13"/>
        <v>0</v>
      </c>
      <c r="BV8" s="370">
        <f t="shared" si="13"/>
        <v>0</v>
      </c>
      <c r="BW8" s="370">
        <f t="shared" si="13"/>
        <v>0</v>
      </c>
      <c r="BX8" s="370">
        <f t="shared" si="13"/>
        <v>0</v>
      </c>
      <c r="BY8" s="370">
        <f t="shared" si="13"/>
        <v>0</v>
      </c>
      <c r="BZ8" s="370">
        <f t="shared" si="13"/>
        <v>1</v>
      </c>
      <c r="CA8" s="370">
        <f t="shared" si="13"/>
        <v>1</v>
      </c>
      <c r="CB8" s="370">
        <f t="shared" ref="CB8:CH8" si="14">IF($R$4="Daily",1*(NETWORKDAYS.INTL(CB5,CB5,weekend,holidays)=0),0)</f>
        <v>0</v>
      </c>
      <c r="CC8" s="370">
        <f t="shared" si="14"/>
        <v>0</v>
      </c>
      <c r="CD8" s="370">
        <f t="shared" si="14"/>
        <v>0</v>
      </c>
      <c r="CE8" s="370">
        <f t="shared" si="14"/>
        <v>0</v>
      </c>
      <c r="CF8" s="370">
        <f t="shared" si="14"/>
        <v>0</v>
      </c>
      <c r="CG8" s="370">
        <f t="shared" si="14"/>
        <v>1</v>
      </c>
      <c r="CH8" s="370">
        <f t="shared" si="14"/>
        <v>1</v>
      </c>
      <c r="CI8" s="370">
        <f t="shared" ref="CI8:CO8" si="15">IF($R$4="Daily",1*(NETWORKDAYS.INTL(CI5,CI5,weekend,holidays)=0),0)</f>
        <v>0</v>
      </c>
      <c r="CJ8" s="370">
        <f t="shared" si="15"/>
        <v>0</v>
      </c>
      <c r="CK8" s="370">
        <f t="shared" si="15"/>
        <v>0</v>
      </c>
      <c r="CL8" s="370">
        <f t="shared" si="15"/>
        <v>1</v>
      </c>
      <c r="CM8" s="370">
        <f t="shared" si="15"/>
        <v>0</v>
      </c>
      <c r="CN8" s="370">
        <f t="shared" si="15"/>
        <v>1</v>
      </c>
      <c r="CO8" s="370">
        <f t="shared" si="15"/>
        <v>1</v>
      </c>
      <c r="CP8" s="370">
        <f t="shared" ref="CP8:DC8" si="16">IF($R$4="Daily",1*(NETWORKDAYS.INTL(CP5,CP5,weekend,holidays)=0),0)</f>
        <v>0</v>
      </c>
      <c r="CQ8" s="370">
        <f t="shared" si="16"/>
        <v>0</v>
      </c>
      <c r="CR8" s="370">
        <f t="shared" si="16"/>
        <v>0</v>
      </c>
      <c r="CS8" s="370">
        <f t="shared" si="16"/>
        <v>0</v>
      </c>
      <c r="CT8" s="370">
        <f t="shared" si="16"/>
        <v>0</v>
      </c>
      <c r="CU8" s="370">
        <f t="shared" si="16"/>
        <v>1</v>
      </c>
      <c r="CV8" s="370">
        <f t="shared" si="16"/>
        <v>1</v>
      </c>
      <c r="CW8" s="370">
        <f t="shared" si="16"/>
        <v>0</v>
      </c>
      <c r="CX8" s="370">
        <f t="shared" si="16"/>
        <v>0</v>
      </c>
      <c r="CY8" s="370">
        <f t="shared" si="16"/>
        <v>0</v>
      </c>
      <c r="CZ8" s="370">
        <f t="shared" si="16"/>
        <v>0</v>
      </c>
      <c r="DA8" s="370">
        <f t="shared" si="16"/>
        <v>0</v>
      </c>
      <c r="DB8" s="370">
        <f t="shared" si="16"/>
        <v>1</v>
      </c>
      <c r="DC8" s="370">
        <f t="shared" si="16"/>
        <v>1</v>
      </c>
      <c r="DD8" s="370">
        <f t="shared" ref="DD8:DQ8" si="17">IF($R$4="Daily",1*(NETWORKDAYS.INTL(DD5,DD5,weekend,holidays)=0),0)</f>
        <v>0</v>
      </c>
      <c r="DE8" s="370">
        <f t="shared" si="17"/>
        <v>0</v>
      </c>
      <c r="DF8" s="370">
        <f t="shared" si="17"/>
        <v>0</v>
      </c>
      <c r="DG8" s="370">
        <f t="shared" si="17"/>
        <v>0</v>
      </c>
      <c r="DH8" s="370">
        <f t="shared" si="17"/>
        <v>0</v>
      </c>
      <c r="DI8" s="370">
        <f t="shared" si="17"/>
        <v>1</v>
      </c>
      <c r="DJ8" s="370">
        <f t="shared" si="17"/>
        <v>1</v>
      </c>
      <c r="DK8" s="370">
        <f t="shared" si="17"/>
        <v>0</v>
      </c>
      <c r="DL8" s="370">
        <f t="shared" si="17"/>
        <v>0</v>
      </c>
      <c r="DM8" s="370">
        <f t="shared" si="17"/>
        <v>0</v>
      </c>
      <c r="DN8" s="370">
        <f t="shared" si="17"/>
        <v>0</v>
      </c>
      <c r="DO8" s="370">
        <f t="shared" si="17"/>
        <v>0</v>
      </c>
      <c r="DP8" s="370">
        <f t="shared" si="17"/>
        <v>1</v>
      </c>
      <c r="DQ8" s="370">
        <f t="shared" si="17"/>
        <v>1</v>
      </c>
      <c r="DR8" s="370">
        <f t="shared" ref="DR8:EE8" si="18">IF($R$4="Daily",1*(NETWORKDAYS.INTL(DR5,DR5,weekend,holidays)=0),0)</f>
        <v>1</v>
      </c>
      <c r="DS8" s="370">
        <f t="shared" si="18"/>
        <v>0</v>
      </c>
      <c r="DT8" s="370">
        <f t="shared" si="18"/>
        <v>0</v>
      </c>
      <c r="DU8" s="370">
        <f t="shared" si="18"/>
        <v>0</v>
      </c>
      <c r="DV8" s="370">
        <f t="shared" si="18"/>
        <v>0</v>
      </c>
      <c r="DW8" s="370">
        <f t="shared" si="18"/>
        <v>1</v>
      </c>
      <c r="DX8" s="370">
        <f t="shared" si="18"/>
        <v>1</v>
      </c>
      <c r="DY8" s="370">
        <f t="shared" si="18"/>
        <v>0</v>
      </c>
      <c r="DZ8" s="370">
        <f t="shared" si="18"/>
        <v>0</v>
      </c>
      <c r="EA8" s="370">
        <f t="shared" si="18"/>
        <v>0</v>
      </c>
      <c r="EB8" s="370">
        <f t="shared" si="18"/>
        <v>0</v>
      </c>
      <c r="EC8" s="370">
        <f t="shared" si="18"/>
        <v>0</v>
      </c>
      <c r="ED8" s="370">
        <f t="shared" si="18"/>
        <v>1</v>
      </c>
      <c r="EE8" s="370">
        <f t="shared" si="18"/>
        <v>1</v>
      </c>
    </row>
    <row r="9" spans="1:136" s="374" customFormat="1" ht="13.5" thickBot="1" x14ac:dyDescent="0.25">
      <c r="A9" s="371"/>
      <c r="B9" s="372" t="s">
        <v>839</v>
      </c>
      <c r="C9" s="380">
        <f>MAX(R11:R60)</f>
        <v>47635</v>
      </c>
      <c r="D9" s="371"/>
      <c r="E9" s="371"/>
      <c r="F9" s="371"/>
      <c r="G9" s="371"/>
      <c r="H9" s="371"/>
      <c r="I9" s="371"/>
      <c r="J9" s="371"/>
      <c r="K9" s="371"/>
      <c r="L9" s="371"/>
      <c r="M9" s="371"/>
      <c r="N9" s="371"/>
      <c r="O9" s="371"/>
      <c r="P9" s="371"/>
      <c r="Q9" s="372" t="str">
        <f>IF(R4="Quarterly","Year:",IF(R4="Monthly","Month:","Week:"))</f>
        <v>Week:</v>
      </c>
      <c r="R9" s="357">
        <v>1</v>
      </c>
      <c r="S9" s="371"/>
      <c r="T9" s="371"/>
      <c r="U9" s="372" t="s">
        <v>840</v>
      </c>
      <c r="V9" s="381"/>
      <c r="W9" s="371"/>
      <c r="X9" s="539" t="str">
        <f>IF($R$4="Weekly","Weeks "&amp;IF(weeknumbering="ISO",WEEKNUM(X5,21),((X5-($C$4-MOD(WEEKDAY($C$4,1)-startday,7)))/7+1))&amp;"-"&amp;IF(weeknumbering="ISO",WEEKNUM(AD5,21),((X5-($C$4-MOD(WEEKDAY($C$4,1)-startday,7)))/7+7)),IF($R$4="Daily","Week "&amp;IF(weeknumbering="ISO",WEEKNUM(X5,21),(X5-($C$4-MOD(WEEKDAY($C$4,1)-startday,7)))/7+1),""))</f>
        <v>Week 1</v>
      </c>
      <c r="Y9" s="539"/>
      <c r="Z9" s="539"/>
      <c r="AA9" s="539"/>
      <c r="AB9" s="539"/>
      <c r="AC9" s="539"/>
      <c r="AD9" s="539"/>
      <c r="AE9" s="539" t="str">
        <f>IF($R$4="Weekly","Weeks "&amp;IF(weeknumbering="ISO",WEEKNUM(AE5,21),((AE5-($C$4-MOD(WEEKDAY($C$4,1)-startday,7)))/7+1))&amp;"-"&amp;IF(weeknumbering="ISO",WEEKNUM(AK5,21),((AE5-($C$4-MOD(WEEKDAY($C$4,1)-startday,7)))/7+7)),IF($R$4="Daily","Week "&amp;IF(weeknumbering="ISO",WEEKNUM(AE5,21),(AE5-($C$4-MOD(WEEKDAY($C$4,1)-startday,7)))/7+1),""))</f>
        <v>Week 2</v>
      </c>
      <c r="AF9" s="539"/>
      <c r="AG9" s="539"/>
      <c r="AH9" s="539"/>
      <c r="AI9" s="539"/>
      <c r="AJ9" s="539"/>
      <c r="AK9" s="539"/>
      <c r="AL9" s="539" t="str">
        <f>IF($R$4="Weekly","Weeks "&amp;IF(weeknumbering="ISO",WEEKNUM(AL5,21),((AL5-($C$4-MOD(WEEKDAY($C$4,1)-startday,7)))/7+1))&amp;"-"&amp;IF(weeknumbering="ISO",WEEKNUM(AR5,21),((AL5-($C$4-MOD(WEEKDAY($C$4,1)-startday,7)))/7+7)),IF($R$4="Daily","Week "&amp;IF(weeknumbering="ISO",WEEKNUM(AL5,21),(AL5-($C$4-MOD(WEEKDAY($C$4,1)-startday,7)))/7+1),""))</f>
        <v>Week 3</v>
      </c>
      <c r="AM9" s="539"/>
      <c r="AN9" s="539"/>
      <c r="AO9" s="539"/>
      <c r="AP9" s="539"/>
      <c r="AQ9" s="539"/>
      <c r="AR9" s="539"/>
      <c r="AS9" s="539" t="str">
        <f>IF($R$4="Weekly","Weeks "&amp;IF(weeknumbering="ISO",WEEKNUM(AS5,21),((AS5-($C$4-MOD(WEEKDAY($C$4,1)-startday,7)))/7+1))&amp;"-"&amp;IF(weeknumbering="ISO",WEEKNUM(AY5,21),((AS5-($C$4-MOD(WEEKDAY($C$4,1)-startday,7)))/7+7)),IF($R$4="Daily","Week "&amp;IF(weeknumbering="ISO",WEEKNUM(AS5,21),(AS5-($C$4-MOD(WEEKDAY($C$4,1)-startday,7)))/7+1),""))</f>
        <v>Week 4</v>
      </c>
      <c r="AT9" s="539"/>
      <c r="AU9" s="539"/>
      <c r="AV9" s="539"/>
      <c r="AW9" s="539"/>
      <c r="AX9" s="539"/>
      <c r="AY9" s="539"/>
      <c r="AZ9" s="539" t="str">
        <f>IF($R$4="Weekly","Weeks "&amp;IF(weeknumbering="ISO",WEEKNUM(AZ5,21),((AZ5-($C$4-MOD(WEEKDAY($C$4,1)-startday,7)))/7+1))&amp;"-"&amp;IF(weeknumbering="ISO",WEEKNUM(BF5,21),((AZ5-($C$4-MOD(WEEKDAY($C$4,1)-startday,7)))/7+7)),IF($R$4="Daily","Week "&amp;IF(weeknumbering="ISO",WEEKNUM(AZ5,21),(AZ5-($C$4-MOD(WEEKDAY($C$4,1)-startday,7)))/7+1),""))</f>
        <v>Week 5</v>
      </c>
      <c r="BA9" s="539"/>
      <c r="BB9" s="539"/>
      <c r="BC9" s="539"/>
      <c r="BD9" s="539"/>
      <c r="BE9" s="539"/>
      <c r="BF9" s="539"/>
      <c r="BG9" s="539" t="str">
        <f>IF($R$4="Weekly","Weeks "&amp;IF(weeknumbering="ISO",WEEKNUM(BG5,21),((BG5-($C$4-MOD(WEEKDAY($C$4,1)-startday,7)))/7+1))&amp;"-"&amp;IF(weeknumbering="ISO",WEEKNUM(BM5,21),((BG5-($C$4-MOD(WEEKDAY($C$4,1)-startday,7)))/7+7)),IF($R$4="Daily","Week "&amp;IF(weeknumbering="ISO",WEEKNUM(BG5,21),(BG5-($C$4-MOD(WEEKDAY($C$4,1)-startday,7)))/7+1),""))</f>
        <v>Week 6</v>
      </c>
      <c r="BH9" s="539"/>
      <c r="BI9" s="539"/>
      <c r="BJ9" s="539"/>
      <c r="BK9" s="539"/>
      <c r="BL9" s="539"/>
      <c r="BM9" s="539"/>
      <c r="BN9" s="539" t="str">
        <f>IF($R$4="Weekly","Weeks "&amp;IF(weeknumbering="ISO",WEEKNUM(BN5,21),((BN5-($C$4-MOD(WEEKDAY($C$4,1)-startday,7)))/7+1))&amp;"-"&amp;IF(weeknumbering="ISO",WEEKNUM(BT5,21),((BN5-($C$4-MOD(WEEKDAY($C$4,1)-startday,7)))/7+7)),IF($R$4="Daily","Week "&amp;IF(weeknumbering="ISO",WEEKNUM(BN5,21),(BN5-($C$4-MOD(WEEKDAY($C$4,1)-startday,7)))/7+1),""))</f>
        <v>Week 7</v>
      </c>
      <c r="BO9" s="539"/>
      <c r="BP9" s="539"/>
      <c r="BQ9" s="539"/>
      <c r="BR9" s="539"/>
      <c r="BS9" s="539"/>
      <c r="BT9" s="539"/>
      <c r="BU9" s="539" t="str">
        <f>IF($R$4="Weekly","Weeks "&amp;IF(weeknumbering="ISO",WEEKNUM(BU5,21),((BU5-($C$4-MOD(WEEKDAY($C$4,1)-startday,7)))/7+1))&amp;"-"&amp;IF(weeknumbering="ISO",WEEKNUM(CA5,21),((BU5-($C$4-MOD(WEEKDAY($C$4,1)-startday,7)))/7+7)),IF($R$4="Daily","Week "&amp;IF(weeknumbering="ISO",WEEKNUM(BU5,21),(BU5-($C$4-MOD(WEEKDAY($C$4,1)-startday,7)))/7+1),""))</f>
        <v>Week 8</v>
      </c>
      <c r="BV9" s="539"/>
      <c r="BW9" s="539"/>
      <c r="BX9" s="539"/>
      <c r="BY9" s="539"/>
      <c r="BZ9" s="539"/>
      <c r="CA9" s="539"/>
      <c r="CB9" s="539" t="str">
        <f>IF($R$4="Weekly","Weeks "&amp;IF(weeknumbering="ISO",WEEKNUM(CB5,21),((CB5-($C$4-MOD(WEEKDAY($C$4,1)-startday,7)))/7+1))&amp;"-"&amp;IF(weeknumbering="ISO",WEEKNUM(CH5,21),((CB5-($C$4-MOD(WEEKDAY($C$4,1)-startday,7)))/7+7)),IF($R$4="Daily","Week "&amp;IF(weeknumbering="ISO",WEEKNUM(CB5,21),(CB5-($C$4-MOD(WEEKDAY($C$4,1)-startday,7)))/7+1),""))</f>
        <v>Week 9</v>
      </c>
      <c r="CC9" s="539"/>
      <c r="CD9" s="539"/>
      <c r="CE9" s="539"/>
      <c r="CF9" s="539"/>
      <c r="CG9" s="539"/>
      <c r="CH9" s="539"/>
      <c r="CI9" s="539" t="str">
        <f>IF($R$4="Weekly","Weeks "&amp;IF(weeknumbering="ISO",WEEKNUM(CI5,21),((CI5-($C$4-MOD(WEEKDAY($C$4,1)-startday,7)))/7+1))&amp;"-"&amp;IF(weeknumbering="ISO",WEEKNUM(CO5,21),((CI5-($C$4-MOD(WEEKDAY($C$4,1)-startday,7)))/7+7)),IF($R$4="Daily","Week "&amp;IF(weeknumbering="ISO",WEEKNUM(CI5,21),(CI5-($C$4-MOD(WEEKDAY($C$4,1)-startday,7)))/7+1),""))</f>
        <v>Week 10</v>
      </c>
      <c r="CJ9" s="539"/>
      <c r="CK9" s="539"/>
      <c r="CL9" s="539"/>
      <c r="CM9" s="539"/>
      <c r="CN9" s="539"/>
      <c r="CO9" s="539"/>
      <c r="CP9" s="539" t="str">
        <f>IF($R$4="Weekly","Weeks "&amp;IF(weeknumbering="ISO",WEEKNUM(CP5,21),((CP5-($C$4-MOD(WEEKDAY($C$4,1)-startday,7)))/7+1))&amp;"-"&amp;IF(weeknumbering="ISO",WEEKNUM(CV5,21),((CP5-($C$4-MOD(WEEKDAY($C$4,1)-startday,7)))/7+7)),IF($R$4="Daily","Week "&amp;IF(weeknumbering="ISO",WEEKNUM(CP5,21),(CP5-($C$4-MOD(WEEKDAY($C$4,1)-startday,7)))/7+1),""))</f>
        <v>Week 11</v>
      </c>
      <c r="CQ9" s="539"/>
      <c r="CR9" s="539"/>
      <c r="CS9" s="539"/>
      <c r="CT9" s="539"/>
      <c r="CU9" s="539"/>
      <c r="CV9" s="539"/>
      <c r="CW9" s="539" t="str">
        <f>IF($R$4="Weekly","Weeks "&amp;IF(weeknumbering="ISO",WEEKNUM(CW5,21),((CW5-($C$4-MOD(WEEKDAY($C$4,1)-startday,7)))/7+1))&amp;"-"&amp;IF(weeknumbering="ISO",WEEKNUM(DC5,21),((CW5-($C$4-MOD(WEEKDAY($C$4,1)-startday,7)))/7+7)),IF($R$4="Daily","Week "&amp;IF(weeknumbering="ISO",WEEKNUM(CW5,21),(CW5-($C$4-MOD(WEEKDAY($C$4,1)-startday,7)))/7+1),""))</f>
        <v>Week 12</v>
      </c>
      <c r="CX9" s="539"/>
      <c r="CY9" s="539"/>
      <c r="CZ9" s="539"/>
      <c r="DA9" s="539"/>
      <c r="DB9" s="539"/>
      <c r="DC9" s="539"/>
      <c r="DD9" s="539" t="str">
        <f>IF($R$4="Weekly","Weeks "&amp;IF(weeknumbering="ISO",WEEKNUM(DD5,21),((DD5-($C$4-MOD(WEEKDAY($C$4,1)-startday,7)))/7+1))&amp;"-"&amp;IF(weeknumbering="ISO",WEEKNUM(DJ5,21),((DD5-($C$4-MOD(WEEKDAY($C$4,1)-startday,7)))/7+7)),IF($R$4="Daily","Week "&amp;IF(weeknumbering="ISO",WEEKNUM(DD5,21),(DD5-($C$4-MOD(WEEKDAY($C$4,1)-startday,7)))/7+1),""))</f>
        <v>Week 13</v>
      </c>
      <c r="DE9" s="539"/>
      <c r="DF9" s="539"/>
      <c r="DG9" s="539"/>
      <c r="DH9" s="539"/>
      <c r="DI9" s="539"/>
      <c r="DJ9" s="539"/>
      <c r="DK9" s="539" t="str">
        <f>IF($R$4="Weekly","Weeks "&amp;IF(weeknumbering="ISO",WEEKNUM(DK5,21),((DK5-($C$4-MOD(WEEKDAY($C$4,1)-startday,7)))/7+1))&amp;"-"&amp;IF(weeknumbering="ISO",WEEKNUM(DQ5,21),((DK5-($C$4-MOD(WEEKDAY($C$4,1)-startday,7)))/7+7)),IF($R$4="Daily","Week "&amp;IF(weeknumbering="ISO",WEEKNUM(DK5,21),(DK5-($C$4-MOD(WEEKDAY($C$4,1)-startday,7)))/7+1),""))</f>
        <v>Week 14</v>
      </c>
      <c r="DL9" s="539"/>
      <c r="DM9" s="539"/>
      <c r="DN9" s="539"/>
      <c r="DO9" s="539"/>
      <c r="DP9" s="539"/>
      <c r="DQ9" s="539"/>
      <c r="DR9" s="539" t="str">
        <f>IF($R$4="Weekly","Weeks "&amp;IF(weeknumbering="ISO",WEEKNUM(DR5,21),((DR5-($C$4-MOD(WEEKDAY($C$4,1)-startday,7)))/7+1))&amp;"-"&amp;IF(weeknumbering="ISO",WEEKNUM(DX5,21),((DR5-($C$4-MOD(WEEKDAY($C$4,1)-startday,7)))/7+7)),IF($R$4="Daily","Week "&amp;IF(weeknumbering="ISO",WEEKNUM(DR5,21),(DR5-($C$4-MOD(WEEKDAY($C$4,1)-startday,7)))/7+1),""))</f>
        <v>Week 15</v>
      </c>
      <c r="DS9" s="539"/>
      <c r="DT9" s="539"/>
      <c r="DU9" s="539"/>
      <c r="DV9" s="539"/>
      <c r="DW9" s="539"/>
      <c r="DX9" s="539"/>
      <c r="DY9" s="539" t="str">
        <f>IF($R$4="Weekly","Weeks "&amp;IF(weeknumbering="ISO",WEEKNUM(DY5,21),((DY5-($C$4-MOD(WEEKDAY($C$4,1)-startday,7)))/7+1))&amp;"-"&amp;IF(weeknumbering="ISO",WEEKNUM(EE5,21),((DY5-($C$4-MOD(WEEKDAY($C$4,1)-startday,7)))/7+7)),IF($R$4="Daily","Week "&amp;IF(weeknumbering="ISO",WEEKNUM(DY5,21),(DY5-($C$4-MOD(WEEKDAY($C$4,1)-startday,7)))/7+1),""))</f>
        <v>Week 16</v>
      </c>
      <c r="DZ9" s="539"/>
      <c r="EA9" s="539"/>
      <c r="EB9" s="539"/>
      <c r="EC9" s="539"/>
      <c r="ED9" s="539"/>
      <c r="EE9" s="539"/>
    </row>
    <row r="10" spans="1:136" s="374" customFormat="1" ht="13.5" thickBot="1" x14ac:dyDescent="0.25">
      <c r="A10" s="371"/>
      <c r="B10" s="372" t="s">
        <v>841</v>
      </c>
      <c r="C10" s="380">
        <f ca="1">TODAY()</f>
        <v>45400</v>
      </c>
      <c r="D10" s="371"/>
      <c r="E10" s="371"/>
      <c r="F10" s="540" t="s">
        <v>842</v>
      </c>
      <c r="G10" s="541"/>
      <c r="H10" s="541"/>
      <c r="I10" s="541"/>
      <c r="J10" s="542"/>
      <c r="K10" s="543" t="s">
        <v>843</v>
      </c>
      <c r="L10" s="544"/>
      <c r="M10" s="545"/>
      <c r="N10" s="382"/>
      <c r="O10" s="339" cm="1">
        <f t="array" ref="O10">IFERROR(SUMPRODUCT(workdays_range,progress_range,1*NOT(_xlfn.ISFORMULA(progress_range)))/SUMPRODUCT(workdays_range,1*NOT(_xlfn.ISFORMULA(progress_range))),"-")</f>
        <v>2.0738007380073802E-2</v>
      </c>
      <c r="P10" s="371"/>
      <c r="Q10" s="383" t="s">
        <v>844</v>
      </c>
      <c r="R10" s="355" t="s">
        <v>906</v>
      </c>
      <c r="S10" s="371"/>
      <c r="T10" s="371"/>
      <c r="U10" s="371"/>
      <c r="V10" s="371"/>
      <c r="W10" s="371"/>
      <c r="X10" s="546">
        <f>IF(OR($R$4="Monthly",$R$4="Weekly"),TEXT(X5,dateformat_wm)&amp;" - "&amp;TEXT(AD5,dateformat_wm),IF($R$4="Quarterly","",X5))</f>
        <v>45411</v>
      </c>
      <c r="Y10" s="546"/>
      <c r="Z10" s="546"/>
      <c r="AA10" s="546"/>
      <c r="AB10" s="546"/>
      <c r="AC10" s="546"/>
      <c r="AD10" s="546"/>
      <c r="AE10" s="546">
        <f>IF(OR($R$4="Monthly",$R$4="Weekly"),TEXT(AE5,dateformat_wm)&amp;" - "&amp;TEXT(AK5,dateformat_wm),IF($R$4="Quarterly","",AE5))</f>
        <v>45418</v>
      </c>
      <c r="AF10" s="546"/>
      <c r="AG10" s="546"/>
      <c r="AH10" s="546"/>
      <c r="AI10" s="546"/>
      <c r="AJ10" s="546"/>
      <c r="AK10" s="546"/>
      <c r="AL10" s="546">
        <f>IF(OR($R$4="Monthly",$R$4="Weekly"),TEXT(AL5,dateformat_wm)&amp;" - "&amp;TEXT(AR5,dateformat_wm),IF($R$4="Quarterly","",AL5))</f>
        <v>45425</v>
      </c>
      <c r="AM10" s="546"/>
      <c r="AN10" s="546"/>
      <c r="AO10" s="546"/>
      <c r="AP10" s="546"/>
      <c r="AQ10" s="546"/>
      <c r="AR10" s="546"/>
      <c r="AS10" s="546">
        <f>IF(OR($R$4="Monthly",$R$4="Weekly"),TEXT(AS5,dateformat_wm)&amp;" - "&amp;TEXT(AY5,dateformat_wm),IF($R$4="Quarterly","",AS5))</f>
        <v>45432</v>
      </c>
      <c r="AT10" s="546"/>
      <c r="AU10" s="546"/>
      <c r="AV10" s="546"/>
      <c r="AW10" s="546"/>
      <c r="AX10" s="546"/>
      <c r="AY10" s="546"/>
      <c r="AZ10" s="546">
        <f>IF(OR($R$4="Monthly",$R$4="Weekly"),TEXT(AZ5,dateformat_wm)&amp;" - "&amp;TEXT(BF5,dateformat_wm),IF($R$4="Quarterly","",AZ5))</f>
        <v>45439</v>
      </c>
      <c r="BA10" s="546"/>
      <c r="BB10" s="546"/>
      <c r="BC10" s="546"/>
      <c r="BD10" s="546"/>
      <c r="BE10" s="546"/>
      <c r="BF10" s="546"/>
      <c r="BG10" s="546">
        <f>IF(OR($R$4="Monthly",$R$4="Weekly"),TEXT(BG5,dateformat_wm)&amp;" - "&amp;TEXT(BM5,dateformat_wm),IF($R$4="Quarterly","",BG5))</f>
        <v>45446</v>
      </c>
      <c r="BH10" s="546"/>
      <c r="BI10" s="546"/>
      <c r="BJ10" s="546"/>
      <c r="BK10" s="546"/>
      <c r="BL10" s="546"/>
      <c r="BM10" s="546"/>
      <c r="BN10" s="546">
        <f>IF(OR($R$4="Monthly",$R$4="Weekly"),TEXT(BN5,dateformat_wm)&amp;" - "&amp;TEXT(BT5,dateformat_wm),IF($R$4="Quarterly","",BN5))</f>
        <v>45453</v>
      </c>
      <c r="BO10" s="546"/>
      <c r="BP10" s="546"/>
      <c r="BQ10" s="546"/>
      <c r="BR10" s="546"/>
      <c r="BS10" s="546"/>
      <c r="BT10" s="546"/>
      <c r="BU10" s="546">
        <f>IF(OR($R$4="Monthly",$R$4="Weekly"),TEXT(BU5,dateformat_wm)&amp;" - "&amp;TEXT(CA5,dateformat_wm),IF($R$4="Quarterly","",BU5))</f>
        <v>45460</v>
      </c>
      <c r="BV10" s="546"/>
      <c r="BW10" s="546"/>
      <c r="BX10" s="546"/>
      <c r="BY10" s="546"/>
      <c r="BZ10" s="546"/>
      <c r="CA10" s="546"/>
      <c r="CB10" s="546">
        <f>IF(OR($R$4="Monthly",$R$4="Weekly"),TEXT(CB5,dateformat_wm)&amp;" - "&amp;TEXT(CH5,dateformat_wm),IF($R$4="Quarterly","",CB5))</f>
        <v>45467</v>
      </c>
      <c r="CC10" s="546"/>
      <c r="CD10" s="546"/>
      <c r="CE10" s="546"/>
      <c r="CF10" s="546"/>
      <c r="CG10" s="546"/>
      <c r="CH10" s="546"/>
      <c r="CI10" s="546">
        <f>IF(OR($R$4="Monthly",$R$4="Weekly"),TEXT(CI5,dateformat_wm)&amp;" - "&amp;TEXT(CO5,dateformat_wm),IF($R$4="Quarterly","",CI5))</f>
        <v>45474</v>
      </c>
      <c r="CJ10" s="546"/>
      <c r="CK10" s="546"/>
      <c r="CL10" s="546"/>
      <c r="CM10" s="546"/>
      <c r="CN10" s="546"/>
      <c r="CO10" s="546"/>
      <c r="CP10" s="546">
        <f>IF(OR($R$4="Monthly",$R$4="Weekly"),TEXT(CP5,dateformat_wm)&amp;" - "&amp;TEXT(CV5,dateformat_wm),IF($R$4="Quarterly","",CP5))</f>
        <v>45481</v>
      </c>
      <c r="CQ10" s="546"/>
      <c r="CR10" s="546"/>
      <c r="CS10" s="546"/>
      <c r="CT10" s="546"/>
      <c r="CU10" s="546"/>
      <c r="CV10" s="546"/>
      <c r="CW10" s="546">
        <f>IF(OR($R$4="Monthly",$R$4="Weekly"),TEXT(CW5,dateformat_wm)&amp;" - "&amp;TEXT(DC5,dateformat_wm),IF($R$4="Quarterly","",CW5))</f>
        <v>45488</v>
      </c>
      <c r="CX10" s="546"/>
      <c r="CY10" s="546"/>
      <c r="CZ10" s="546"/>
      <c r="DA10" s="546"/>
      <c r="DB10" s="546"/>
      <c r="DC10" s="546"/>
      <c r="DD10" s="546">
        <f>IF(OR($R$4="Monthly",$R$4="Weekly"),TEXT(DD5,dateformat_wm)&amp;" - "&amp;TEXT(DJ5,dateformat_wm),IF($R$4="Quarterly","",DD5))</f>
        <v>45495</v>
      </c>
      <c r="DE10" s="546"/>
      <c r="DF10" s="546"/>
      <c r="DG10" s="546"/>
      <c r="DH10" s="546"/>
      <c r="DI10" s="546"/>
      <c r="DJ10" s="546"/>
      <c r="DK10" s="546">
        <f>IF(OR($R$4="Monthly",$R$4="Weekly"),TEXT(DK5,dateformat_wm)&amp;" - "&amp;TEXT(DQ5,dateformat_wm),IF($R$4="Quarterly","",DK5))</f>
        <v>45502</v>
      </c>
      <c r="DL10" s="546"/>
      <c r="DM10" s="546"/>
      <c r="DN10" s="546"/>
      <c r="DO10" s="546"/>
      <c r="DP10" s="546"/>
      <c r="DQ10" s="546"/>
      <c r="DR10" s="546">
        <f>IF(OR($R$4="Monthly",$R$4="Weekly"),TEXT(DR5,dateformat_wm)&amp;" - "&amp;TEXT(DX5,dateformat_wm),IF($R$4="Quarterly","",DR5))</f>
        <v>45509</v>
      </c>
      <c r="DS10" s="546"/>
      <c r="DT10" s="546"/>
      <c r="DU10" s="546"/>
      <c r="DV10" s="546"/>
      <c r="DW10" s="546"/>
      <c r="DX10" s="546"/>
      <c r="DY10" s="546">
        <f>IF(OR($R$4="Monthly",$R$4="Weekly"),TEXT(DY5,dateformat_wm)&amp;" - "&amp;TEXT(EE5,dateformat_wm),IF($R$4="Quarterly","",DY5))</f>
        <v>45516</v>
      </c>
      <c r="DZ10" s="546"/>
      <c r="EA10" s="546"/>
      <c r="EB10" s="546"/>
      <c r="EC10" s="546"/>
      <c r="ED10" s="546"/>
      <c r="EE10" s="546"/>
    </row>
    <row r="11" spans="1:136" s="387" customFormat="1" ht="12.75" customHeight="1" x14ac:dyDescent="0.25">
      <c r="A11" s="548" t="s">
        <v>845</v>
      </c>
      <c r="B11" s="550" t="s">
        <v>846</v>
      </c>
      <c r="C11" s="550" t="s">
        <v>847</v>
      </c>
      <c r="D11" s="551" t="s">
        <v>848</v>
      </c>
      <c r="E11" s="551" t="s">
        <v>849</v>
      </c>
      <c r="F11" s="550" t="s">
        <v>850</v>
      </c>
      <c r="G11" s="550"/>
      <c r="H11" s="550"/>
      <c r="I11" s="551" t="s">
        <v>851</v>
      </c>
      <c r="J11" s="551" t="s">
        <v>852</v>
      </c>
      <c r="K11" s="551" t="s">
        <v>853</v>
      </c>
      <c r="L11" s="551" t="s">
        <v>854</v>
      </c>
      <c r="M11" s="551" t="s">
        <v>855</v>
      </c>
      <c r="N11" s="547" t="s">
        <v>856</v>
      </c>
      <c r="O11" s="551" t="s">
        <v>857</v>
      </c>
      <c r="P11" s="551" t="s">
        <v>858</v>
      </c>
      <c r="Q11" s="552" t="s">
        <v>859</v>
      </c>
      <c r="R11" s="552" t="s">
        <v>860</v>
      </c>
      <c r="S11" s="551" t="s">
        <v>853</v>
      </c>
      <c r="T11" s="551" t="s">
        <v>854</v>
      </c>
      <c r="U11" s="551" t="s">
        <v>861</v>
      </c>
      <c r="V11" s="551" t="s">
        <v>862</v>
      </c>
      <c r="W11" s="384"/>
      <c r="X11" s="385">
        <f t="shared" ref="X11:BC11" si="19">IF($R$4="Daily",X5,IF($R$4="Weekly",CHOOSE(MONTH(X5),"Ja","F","Mr","Ap","M","Ju","Jy","Au","S","O","N","D"),IF($R$4="Quarterly",TEXT(X5,dateformat_yy),"")))</f>
        <v>45411</v>
      </c>
      <c r="Y11" s="385">
        <f t="shared" si="19"/>
        <v>45412</v>
      </c>
      <c r="Z11" s="385">
        <f t="shared" si="19"/>
        <v>45413</v>
      </c>
      <c r="AA11" s="385">
        <f t="shared" si="19"/>
        <v>45414</v>
      </c>
      <c r="AB11" s="385">
        <f t="shared" si="19"/>
        <v>45415</v>
      </c>
      <c r="AC11" s="385">
        <f t="shared" si="19"/>
        <v>45416</v>
      </c>
      <c r="AD11" s="385">
        <f t="shared" si="19"/>
        <v>45417</v>
      </c>
      <c r="AE11" s="385">
        <f t="shared" si="19"/>
        <v>45418</v>
      </c>
      <c r="AF11" s="385">
        <f t="shared" si="19"/>
        <v>45419</v>
      </c>
      <c r="AG11" s="385">
        <f t="shared" si="19"/>
        <v>45420</v>
      </c>
      <c r="AH11" s="385">
        <f t="shared" si="19"/>
        <v>45421</v>
      </c>
      <c r="AI11" s="385">
        <f t="shared" si="19"/>
        <v>45422</v>
      </c>
      <c r="AJ11" s="385">
        <f t="shared" si="19"/>
        <v>45423</v>
      </c>
      <c r="AK11" s="385">
        <f t="shared" si="19"/>
        <v>45424</v>
      </c>
      <c r="AL11" s="385">
        <f t="shared" si="19"/>
        <v>45425</v>
      </c>
      <c r="AM11" s="385">
        <f t="shared" si="19"/>
        <v>45426</v>
      </c>
      <c r="AN11" s="385">
        <f t="shared" si="19"/>
        <v>45427</v>
      </c>
      <c r="AO11" s="385">
        <f t="shared" si="19"/>
        <v>45428</v>
      </c>
      <c r="AP11" s="385">
        <f t="shared" si="19"/>
        <v>45429</v>
      </c>
      <c r="AQ11" s="385">
        <f t="shared" si="19"/>
        <v>45430</v>
      </c>
      <c r="AR11" s="385">
        <f t="shared" si="19"/>
        <v>45431</v>
      </c>
      <c r="AS11" s="385">
        <f t="shared" si="19"/>
        <v>45432</v>
      </c>
      <c r="AT11" s="385">
        <f t="shared" si="19"/>
        <v>45433</v>
      </c>
      <c r="AU11" s="385">
        <f t="shared" si="19"/>
        <v>45434</v>
      </c>
      <c r="AV11" s="385">
        <f t="shared" si="19"/>
        <v>45435</v>
      </c>
      <c r="AW11" s="385">
        <f t="shared" si="19"/>
        <v>45436</v>
      </c>
      <c r="AX11" s="385">
        <f t="shared" si="19"/>
        <v>45437</v>
      </c>
      <c r="AY11" s="385">
        <f t="shared" si="19"/>
        <v>45438</v>
      </c>
      <c r="AZ11" s="385">
        <f t="shared" si="19"/>
        <v>45439</v>
      </c>
      <c r="BA11" s="385">
        <f t="shared" si="19"/>
        <v>45440</v>
      </c>
      <c r="BB11" s="385">
        <f t="shared" si="19"/>
        <v>45441</v>
      </c>
      <c r="BC11" s="385">
        <f t="shared" si="19"/>
        <v>45442</v>
      </c>
      <c r="BD11" s="385">
        <f t="shared" ref="BD11:CI11" si="20">IF($R$4="Daily",BD5,IF($R$4="Weekly",CHOOSE(MONTH(BD5),"Ja","F","Mr","Ap","M","Ju","Jy","Au","S","O","N","D"),IF($R$4="Quarterly",TEXT(BD5,dateformat_yy),"")))</f>
        <v>45443</v>
      </c>
      <c r="BE11" s="385">
        <f t="shared" si="20"/>
        <v>45444</v>
      </c>
      <c r="BF11" s="385">
        <f t="shared" si="20"/>
        <v>45445</v>
      </c>
      <c r="BG11" s="385">
        <f t="shared" si="20"/>
        <v>45446</v>
      </c>
      <c r="BH11" s="385">
        <f t="shared" si="20"/>
        <v>45447</v>
      </c>
      <c r="BI11" s="385">
        <f t="shared" si="20"/>
        <v>45448</v>
      </c>
      <c r="BJ11" s="385">
        <f t="shared" si="20"/>
        <v>45449</v>
      </c>
      <c r="BK11" s="385">
        <f t="shared" si="20"/>
        <v>45450</v>
      </c>
      <c r="BL11" s="385">
        <f t="shared" si="20"/>
        <v>45451</v>
      </c>
      <c r="BM11" s="385">
        <f t="shared" si="20"/>
        <v>45452</v>
      </c>
      <c r="BN11" s="385">
        <f t="shared" si="20"/>
        <v>45453</v>
      </c>
      <c r="BO11" s="385">
        <f t="shared" si="20"/>
        <v>45454</v>
      </c>
      <c r="BP11" s="385">
        <f t="shared" si="20"/>
        <v>45455</v>
      </c>
      <c r="BQ11" s="385">
        <f t="shared" si="20"/>
        <v>45456</v>
      </c>
      <c r="BR11" s="385">
        <f t="shared" si="20"/>
        <v>45457</v>
      </c>
      <c r="BS11" s="385">
        <f t="shared" si="20"/>
        <v>45458</v>
      </c>
      <c r="BT11" s="385">
        <f t="shared" si="20"/>
        <v>45459</v>
      </c>
      <c r="BU11" s="385">
        <f t="shared" si="20"/>
        <v>45460</v>
      </c>
      <c r="BV11" s="385">
        <f t="shared" si="20"/>
        <v>45461</v>
      </c>
      <c r="BW11" s="385">
        <f t="shared" si="20"/>
        <v>45462</v>
      </c>
      <c r="BX11" s="385">
        <f t="shared" si="20"/>
        <v>45463</v>
      </c>
      <c r="BY11" s="385">
        <f t="shared" si="20"/>
        <v>45464</v>
      </c>
      <c r="BZ11" s="385">
        <f t="shared" si="20"/>
        <v>45465</v>
      </c>
      <c r="CA11" s="385">
        <f t="shared" si="20"/>
        <v>45466</v>
      </c>
      <c r="CB11" s="385">
        <f t="shared" si="20"/>
        <v>45467</v>
      </c>
      <c r="CC11" s="385">
        <f t="shared" si="20"/>
        <v>45468</v>
      </c>
      <c r="CD11" s="385">
        <f t="shared" si="20"/>
        <v>45469</v>
      </c>
      <c r="CE11" s="385">
        <f t="shared" si="20"/>
        <v>45470</v>
      </c>
      <c r="CF11" s="385">
        <f t="shared" si="20"/>
        <v>45471</v>
      </c>
      <c r="CG11" s="385">
        <f t="shared" si="20"/>
        <v>45472</v>
      </c>
      <c r="CH11" s="385">
        <f t="shared" si="20"/>
        <v>45473</v>
      </c>
      <c r="CI11" s="385">
        <f t="shared" si="20"/>
        <v>45474</v>
      </c>
      <c r="CJ11" s="385">
        <f t="shared" ref="CJ11:DO11" si="21">IF($R$4="Daily",CJ5,IF($R$4="Weekly",CHOOSE(MONTH(CJ5),"Ja","F","Mr","Ap","M","Ju","Jy","Au","S","O","N","D"),IF($R$4="Quarterly",TEXT(CJ5,dateformat_yy),"")))</f>
        <v>45475</v>
      </c>
      <c r="CK11" s="385">
        <f t="shared" si="21"/>
        <v>45476</v>
      </c>
      <c r="CL11" s="385">
        <f t="shared" si="21"/>
        <v>45477</v>
      </c>
      <c r="CM11" s="385">
        <f t="shared" si="21"/>
        <v>45478</v>
      </c>
      <c r="CN11" s="385">
        <f t="shared" si="21"/>
        <v>45479</v>
      </c>
      <c r="CO11" s="385">
        <f t="shared" si="21"/>
        <v>45480</v>
      </c>
      <c r="CP11" s="385">
        <f t="shared" si="21"/>
        <v>45481</v>
      </c>
      <c r="CQ11" s="385">
        <f t="shared" si="21"/>
        <v>45482</v>
      </c>
      <c r="CR11" s="385">
        <f t="shared" si="21"/>
        <v>45483</v>
      </c>
      <c r="CS11" s="385">
        <f t="shared" si="21"/>
        <v>45484</v>
      </c>
      <c r="CT11" s="385">
        <f t="shared" si="21"/>
        <v>45485</v>
      </c>
      <c r="CU11" s="385">
        <f t="shared" si="21"/>
        <v>45486</v>
      </c>
      <c r="CV11" s="385">
        <f t="shared" si="21"/>
        <v>45487</v>
      </c>
      <c r="CW11" s="385">
        <f t="shared" si="21"/>
        <v>45488</v>
      </c>
      <c r="CX11" s="385">
        <f t="shared" si="21"/>
        <v>45489</v>
      </c>
      <c r="CY11" s="385">
        <f t="shared" si="21"/>
        <v>45490</v>
      </c>
      <c r="CZ11" s="385">
        <f t="shared" si="21"/>
        <v>45491</v>
      </c>
      <c r="DA11" s="385">
        <f t="shared" si="21"/>
        <v>45492</v>
      </c>
      <c r="DB11" s="385">
        <f t="shared" si="21"/>
        <v>45493</v>
      </c>
      <c r="DC11" s="385">
        <f t="shared" si="21"/>
        <v>45494</v>
      </c>
      <c r="DD11" s="385">
        <f t="shared" si="21"/>
        <v>45495</v>
      </c>
      <c r="DE11" s="385">
        <f t="shared" si="21"/>
        <v>45496</v>
      </c>
      <c r="DF11" s="385">
        <f t="shared" si="21"/>
        <v>45497</v>
      </c>
      <c r="DG11" s="385">
        <f t="shared" si="21"/>
        <v>45498</v>
      </c>
      <c r="DH11" s="385">
        <f t="shared" si="21"/>
        <v>45499</v>
      </c>
      <c r="DI11" s="385">
        <f t="shared" si="21"/>
        <v>45500</v>
      </c>
      <c r="DJ11" s="385">
        <f t="shared" si="21"/>
        <v>45501</v>
      </c>
      <c r="DK11" s="385">
        <f t="shared" si="21"/>
        <v>45502</v>
      </c>
      <c r="DL11" s="385">
        <f t="shared" si="21"/>
        <v>45503</v>
      </c>
      <c r="DM11" s="385">
        <f t="shared" si="21"/>
        <v>45504</v>
      </c>
      <c r="DN11" s="385">
        <f t="shared" si="21"/>
        <v>45505</v>
      </c>
      <c r="DO11" s="385">
        <f t="shared" si="21"/>
        <v>45506</v>
      </c>
      <c r="DP11" s="385">
        <f t="shared" ref="DP11:EE11" si="22">IF($R$4="Daily",DP5,IF($R$4="Weekly",CHOOSE(MONTH(DP5),"Ja","F","Mr","Ap","M","Ju","Jy","Au","S","O","N","D"),IF($R$4="Quarterly",TEXT(DP5,dateformat_yy),"")))</f>
        <v>45507</v>
      </c>
      <c r="DQ11" s="385">
        <f t="shared" si="22"/>
        <v>45508</v>
      </c>
      <c r="DR11" s="385">
        <f t="shared" si="22"/>
        <v>45509</v>
      </c>
      <c r="DS11" s="385">
        <f t="shared" si="22"/>
        <v>45510</v>
      </c>
      <c r="DT11" s="385">
        <f t="shared" si="22"/>
        <v>45511</v>
      </c>
      <c r="DU11" s="385">
        <f t="shared" si="22"/>
        <v>45512</v>
      </c>
      <c r="DV11" s="385">
        <f t="shared" si="22"/>
        <v>45513</v>
      </c>
      <c r="DW11" s="385">
        <f t="shared" si="22"/>
        <v>45514</v>
      </c>
      <c r="DX11" s="385">
        <f t="shared" si="22"/>
        <v>45515</v>
      </c>
      <c r="DY11" s="385">
        <f t="shared" si="22"/>
        <v>45516</v>
      </c>
      <c r="DZ11" s="385">
        <f t="shared" si="22"/>
        <v>45517</v>
      </c>
      <c r="EA11" s="385">
        <f t="shared" si="22"/>
        <v>45518</v>
      </c>
      <c r="EB11" s="385">
        <f t="shared" si="22"/>
        <v>45519</v>
      </c>
      <c r="EC11" s="385">
        <f t="shared" si="22"/>
        <v>45520</v>
      </c>
      <c r="ED11" s="385">
        <f t="shared" si="22"/>
        <v>45521</v>
      </c>
      <c r="EE11" s="385">
        <f t="shared" si="22"/>
        <v>45522</v>
      </c>
      <c r="EF11" s="386"/>
    </row>
    <row r="12" spans="1:136" s="387" customFormat="1" x14ac:dyDescent="0.25">
      <c r="A12" s="549"/>
      <c r="B12" s="550"/>
      <c r="C12" s="550"/>
      <c r="D12" s="551"/>
      <c r="E12" s="551"/>
      <c r="F12" s="550"/>
      <c r="G12" s="550"/>
      <c r="H12" s="550"/>
      <c r="I12" s="551"/>
      <c r="J12" s="551"/>
      <c r="K12" s="551"/>
      <c r="L12" s="551"/>
      <c r="M12" s="551"/>
      <c r="N12" s="547"/>
      <c r="O12" s="551"/>
      <c r="P12" s="551"/>
      <c r="Q12" s="552"/>
      <c r="R12" s="552"/>
      <c r="S12" s="551"/>
      <c r="T12" s="551"/>
      <c r="U12" s="551"/>
      <c r="V12" s="551"/>
      <c r="W12" s="384"/>
      <c r="X12" s="388" t="str">
        <f t="shared" ref="X12:CI12" si="23">IF($R$4="Quarterly","Q"&amp;INT((MONTH(X5)-1)/3+1),IF($R$4="Monthly",CHOOSE(MONTH(X5),"Ja","F","Mr","Ap","M","Ju","Jy","Au","S","O","N","D"),IF($R$4="Weekly",DAY(X5),CHOOSE(WEEKDAY(X5,1),"S","M","T","W","T","F","S"))))</f>
        <v>M</v>
      </c>
      <c r="Y12" s="388" t="str">
        <f t="shared" si="23"/>
        <v>T</v>
      </c>
      <c r="Z12" s="388" t="str">
        <f t="shared" si="23"/>
        <v>W</v>
      </c>
      <c r="AA12" s="388" t="str">
        <f t="shared" si="23"/>
        <v>T</v>
      </c>
      <c r="AB12" s="388" t="str">
        <f t="shared" si="23"/>
        <v>F</v>
      </c>
      <c r="AC12" s="388" t="str">
        <f t="shared" si="23"/>
        <v>S</v>
      </c>
      <c r="AD12" s="388" t="str">
        <f t="shared" si="23"/>
        <v>S</v>
      </c>
      <c r="AE12" s="388" t="str">
        <f t="shared" si="23"/>
        <v>M</v>
      </c>
      <c r="AF12" s="388" t="str">
        <f t="shared" si="23"/>
        <v>T</v>
      </c>
      <c r="AG12" s="388" t="str">
        <f t="shared" si="23"/>
        <v>W</v>
      </c>
      <c r="AH12" s="388" t="str">
        <f t="shared" si="23"/>
        <v>T</v>
      </c>
      <c r="AI12" s="388" t="str">
        <f t="shared" si="23"/>
        <v>F</v>
      </c>
      <c r="AJ12" s="388" t="str">
        <f t="shared" si="23"/>
        <v>S</v>
      </c>
      <c r="AK12" s="388" t="str">
        <f t="shared" si="23"/>
        <v>S</v>
      </c>
      <c r="AL12" s="388" t="str">
        <f t="shared" si="23"/>
        <v>M</v>
      </c>
      <c r="AM12" s="388" t="str">
        <f t="shared" si="23"/>
        <v>T</v>
      </c>
      <c r="AN12" s="388" t="str">
        <f t="shared" si="23"/>
        <v>W</v>
      </c>
      <c r="AO12" s="388" t="str">
        <f t="shared" si="23"/>
        <v>T</v>
      </c>
      <c r="AP12" s="388" t="str">
        <f t="shared" si="23"/>
        <v>F</v>
      </c>
      <c r="AQ12" s="388" t="str">
        <f t="shared" si="23"/>
        <v>S</v>
      </c>
      <c r="AR12" s="388" t="str">
        <f t="shared" si="23"/>
        <v>S</v>
      </c>
      <c r="AS12" s="388" t="str">
        <f t="shared" si="23"/>
        <v>M</v>
      </c>
      <c r="AT12" s="388" t="str">
        <f t="shared" si="23"/>
        <v>T</v>
      </c>
      <c r="AU12" s="388" t="str">
        <f t="shared" si="23"/>
        <v>W</v>
      </c>
      <c r="AV12" s="388" t="str">
        <f t="shared" si="23"/>
        <v>T</v>
      </c>
      <c r="AW12" s="388" t="str">
        <f t="shared" si="23"/>
        <v>F</v>
      </c>
      <c r="AX12" s="388" t="str">
        <f t="shared" si="23"/>
        <v>S</v>
      </c>
      <c r="AY12" s="388" t="str">
        <f t="shared" si="23"/>
        <v>S</v>
      </c>
      <c r="AZ12" s="388" t="str">
        <f t="shared" si="23"/>
        <v>M</v>
      </c>
      <c r="BA12" s="388" t="str">
        <f t="shared" si="23"/>
        <v>T</v>
      </c>
      <c r="BB12" s="388" t="str">
        <f t="shared" si="23"/>
        <v>W</v>
      </c>
      <c r="BC12" s="388" t="str">
        <f t="shared" si="23"/>
        <v>T</v>
      </c>
      <c r="BD12" s="388" t="str">
        <f t="shared" si="23"/>
        <v>F</v>
      </c>
      <c r="BE12" s="388" t="str">
        <f t="shared" si="23"/>
        <v>S</v>
      </c>
      <c r="BF12" s="388" t="str">
        <f t="shared" si="23"/>
        <v>S</v>
      </c>
      <c r="BG12" s="388" t="str">
        <f t="shared" si="23"/>
        <v>M</v>
      </c>
      <c r="BH12" s="388" t="str">
        <f t="shared" si="23"/>
        <v>T</v>
      </c>
      <c r="BI12" s="388" t="str">
        <f t="shared" si="23"/>
        <v>W</v>
      </c>
      <c r="BJ12" s="388" t="str">
        <f t="shared" si="23"/>
        <v>T</v>
      </c>
      <c r="BK12" s="388" t="str">
        <f t="shared" si="23"/>
        <v>F</v>
      </c>
      <c r="BL12" s="388" t="str">
        <f t="shared" si="23"/>
        <v>S</v>
      </c>
      <c r="BM12" s="388" t="str">
        <f t="shared" si="23"/>
        <v>S</v>
      </c>
      <c r="BN12" s="388" t="str">
        <f t="shared" si="23"/>
        <v>M</v>
      </c>
      <c r="BO12" s="388" t="str">
        <f t="shared" si="23"/>
        <v>T</v>
      </c>
      <c r="BP12" s="388" t="str">
        <f t="shared" si="23"/>
        <v>W</v>
      </c>
      <c r="BQ12" s="388" t="str">
        <f t="shared" si="23"/>
        <v>T</v>
      </c>
      <c r="BR12" s="388" t="str">
        <f t="shared" si="23"/>
        <v>F</v>
      </c>
      <c r="BS12" s="388" t="str">
        <f t="shared" si="23"/>
        <v>S</v>
      </c>
      <c r="BT12" s="388" t="str">
        <f t="shared" si="23"/>
        <v>S</v>
      </c>
      <c r="BU12" s="388" t="str">
        <f t="shared" si="23"/>
        <v>M</v>
      </c>
      <c r="BV12" s="388" t="str">
        <f t="shared" si="23"/>
        <v>T</v>
      </c>
      <c r="BW12" s="388" t="str">
        <f t="shared" si="23"/>
        <v>W</v>
      </c>
      <c r="BX12" s="388" t="str">
        <f t="shared" si="23"/>
        <v>T</v>
      </c>
      <c r="BY12" s="388" t="str">
        <f t="shared" si="23"/>
        <v>F</v>
      </c>
      <c r="BZ12" s="388" t="str">
        <f t="shared" si="23"/>
        <v>S</v>
      </c>
      <c r="CA12" s="388" t="str">
        <f t="shared" si="23"/>
        <v>S</v>
      </c>
      <c r="CB12" s="388" t="str">
        <f t="shared" si="23"/>
        <v>M</v>
      </c>
      <c r="CC12" s="388" t="str">
        <f t="shared" si="23"/>
        <v>T</v>
      </c>
      <c r="CD12" s="388" t="str">
        <f t="shared" si="23"/>
        <v>W</v>
      </c>
      <c r="CE12" s="388" t="str">
        <f t="shared" si="23"/>
        <v>T</v>
      </c>
      <c r="CF12" s="388" t="str">
        <f t="shared" si="23"/>
        <v>F</v>
      </c>
      <c r="CG12" s="388" t="str">
        <f t="shared" si="23"/>
        <v>S</v>
      </c>
      <c r="CH12" s="388" t="str">
        <f t="shared" si="23"/>
        <v>S</v>
      </c>
      <c r="CI12" s="388" t="str">
        <f t="shared" si="23"/>
        <v>M</v>
      </c>
      <c r="CJ12" s="388" t="str">
        <f t="shared" ref="CJ12:EE12" si="24">IF($R$4="Quarterly","Q"&amp;INT((MONTH(CJ5)-1)/3+1),IF($R$4="Monthly",CHOOSE(MONTH(CJ5),"Ja","F","Mr","Ap","M","Ju","Jy","Au","S","O","N","D"),IF($R$4="Weekly",DAY(CJ5),CHOOSE(WEEKDAY(CJ5,1),"S","M","T","W","T","F","S"))))</f>
        <v>T</v>
      </c>
      <c r="CK12" s="388" t="str">
        <f t="shared" si="24"/>
        <v>W</v>
      </c>
      <c r="CL12" s="388" t="str">
        <f t="shared" si="24"/>
        <v>T</v>
      </c>
      <c r="CM12" s="388" t="str">
        <f t="shared" si="24"/>
        <v>F</v>
      </c>
      <c r="CN12" s="388" t="str">
        <f t="shared" si="24"/>
        <v>S</v>
      </c>
      <c r="CO12" s="388" t="str">
        <f t="shared" si="24"/>
        <v>S</v>
      </c>
      <c r="CP12" s="388" t="str">
        <f t="shared" si="24"/>
        <v>M</v>
      </c>
      <c r="CQ12" s="388" t="str">
        <f t="shared" si="24"/>
        <v>T</v>
      </c>
      <c r="CR12" s="388" t="str">
        <f t="shared" si="24"/>
        <v>W</v>
      </c>
      <c r="CS12" s="388" t="str">
        <f t="shared" si="24"/>
        <v>T</v>
      </c>
      <c r="CT12" s="388" t="str">
        <f t="shared" si="24"/>
        <v>F</v>
      </c>
      <c r="CU12" s="388" t="str">
        <f t="shared" si="24"/>
        <v>S</v>
      </c>
      <c r="CV12" s="388" t="str">
        <f t="shared" si="24"/>
        <v>S</v>
      </c>
      <c r="CW12" s="388" t="str">
        <f t="shared" si="24"/>
        <v>M</v>
      </c>
      <c r="CX12" s="388" t="str">
        <f t="shared" si="24"/>
        <v>T</v>
      </c>
      <c r="CY12" s="388" t="str">
        <f t="shared" si="24"/>
        <v>W</v>
      </c>
      <c r="CZ12" s="388" t="str">
        <f t="shared" si="24"/>
        <v>T</v>
      </c>
      <c r="DA12" s="388" t="str">
        <f t="shared" si="24"/>
        <v>F</v>
      </c>
      <c r="DB12" s="388" t="str">
        <f t="shared" si="24"/>
        <v>S</v>
      </c>
      <c r="DC12" s="388" t="str">
        <f t="shared" si="24"/>
        <v>S</v>
      </c>
      <c r="DD12" s="388" t="str">
        <f t="shared" si="24"/>
        <v>M</v>
      </c>
      <c r="DE12" s="388" t="str">
        <f t="shared" si="24"/>
        <v>T</v>
      </c>
      <c r="DF12" s="388" t="str">
        <f t="shared" si="24"/>
        <v>W</v>
      </c>
      <c r="DG12" s="388" t="str">
        <f t="shared" si="24"/>
        <v>T</v>
      </c>
      <c r="DH12" s="388" t="str">
        <f t="shared" si="24"/>
        <v>F</v>
      </c>
      <c r="DI12" s="388" t="str">
        <f t="shared" si="24"/>
        <v>S</v>
      </c>
      <c r="DJ12" s="388" t="str">
        <f t="shared" si="24"/>
        <v>S</v>
      </c>
      <c r="DK12" s="388" t="str">
        <f t="shared" si="24"/>
        <v>M</v>
      </c>
      <c r="DL12" s="388" t="str">
        <f t="shared" si="24"/>
        <v>T</v>
      </c>
      <c r="DM12" s="388" t="str">
        <f t="shared" si="24"/>
        <v>W</v>
      </c>
      <c r="DN12" s="388" t="str">
        <f t="shared" si="24"/>
        <v>T</v>
      </c>
      <c r="DO12" s="388" t="str">
        <f t="shared" si="24"/>
        <v>F</v>
      </c>
      <c r="DP12" s="388" t="str">
        <f t="shared" si="24"/>
        <v>S</v>
      </c>
      <c r="DQ12" s="388" t="str">
        <f t="shared" si="24"/>
        <v>S</v>
      </c>
      <c r="DR12" s="388" t="str">
        <f t="shared" si="24"/>
        <v>M</v>
      </c>
      <c r="DS12" s="388" t="str">
        <f t="shared" si="24"/>
        <v>T</v>
      </c>
      <c r="DT12" s="388" t="str">
        <f t="shared" si="24"/>
        <v>W</v>
      </c>
      <c r="DU12" s="388" t="str">
        <f t="shared" si="24"/>
        <v>T</v>
      </c>
      <c r="DV12" s="388" t="str">
        <f t="shared" si="24"/>
        <v>F</v>
      </c>
      <c r="DW12" s="388" t="str">
        <f t="shared" si="24"/>
        <v>S</v>
      </c>
      <c r="DX12" s="388" t="str">
        <f t="shared" si="24"/>
        <v>S</v>
      </c>
      <c r="DY12" s="388" t="str">
        <f t="shared" si="24"/>
        <v>M</v>
      </c>
      <c r="DZ12" s="388" t="str">
        <f t="shared" si="24"/>
        <v>T</v>
      </c>
      <c r="EA12" s="388" t="str">
        <f t="shared" si="24"/>
        <v>W</v>
      </c>
      <c r="EB12" s="388" t="str">
        <f t="shared" si="24"/>
        <v>T</v>
      </c>
      <c r="EC12" s="388" t="str">
        <f t="shared" si="24"/>
        <v>F</v>
      </c>
      <c r="ED12" s="388" t="str">
        <f t="shared" si="24"/>
        <v>S</v>
      </c>
      <c r="EE12" s="388" t="str">
        <f t="shared" si="24"/>
        <v>S</v>
      </c>
      <c r="EF12" s="389"/>
    </row>
    <row r="13" spans="1:136" s="408" customFormat="1" x14ac:dyDescent="0.25">
      <c r="A13" s="390">
        <v>1</v>
      </c>
      <c r="B13" s="391" t="str">
        <f t="shared" ref="B13:B49" si="25">IF(A13="","-",IF(A13&gt;prevLevel,IF(OR(prevWBS="",prevWBS="-"),"1",prevWBS)&amp;REPT(".1",A13-MAX(prevLevel,1)),IF(ISERROR(FIND(".",prevWBS)),REPT("1.",A13-1)&amp;IFERROR(VALUE(prevWBS)+1,"1"),IF(A13=1,"",IFERROR(LEFT(prevWBS,FIND("^",SUBSTITUTE(prevWBS,".","^",A13-1))),""))&amp;VALUE(TRIM(MID(SUBSTITUTE(prevWBS,".",REPT(" ",LEN(prevWBS))),(A13-1)*LEN(prevWBS)+1,LEN(prevWBS))))+1)))</f>
        <v>1</v>
      </c>
      <c r="C13" s="392" t="s">
        <v>56</v>
      </c>
      <c r="D13" s="393"/>
      <c r="E13" s="394"/>
      <c r="F13" s="395"/>
      <c r="G13" s="396"/>
      <c r="H13" s="396"/>
      <c r="I13" s="396"/>
      <c r="J13" s="535">
        <f>MIN(Q14:Q17)</f>
        <v>45413</v>
      </c>
      <c r="K13" s="397"/>
      <c r="L13" s="398"/>
      <c r="M13" s="535">
        <f>MAX(R14:R17)</f>
        <v>45536</v>
      </c>
      <c r="N13" s="399" t="s">
        <v>863</v>
      </c>
      <c r="O13" s="400">
        <v>0</v>
      </c>
      <c r="P13" s="401"/>
      <c r="Q13" s="402">
        <f t="shared" ref="Q13:Q21" si="26">IF(OR(J13&lt;&gt;"",F13&lt;&gt;""),MAX(J13,IF(F13&lt;&gt;"",WORKDAY.INTL(MAX(IFERROR(INDEX($R$11:$R$60,MATCH(F13,$B$11:$B$60,0)),0),IFERROR(INDEX($R$11:$R$60,MATCH(G13,$B$11:$B$60,0)),0),IFERROR(INDEX($R$11:$R$60,MATCH(H13,$B$11:$B$60,0)),0)),IF(ISBLANK(I13),1,I13+1),weekend,holidays),0)),IF(M13&lt;&gt;"",IF(L13&lt;&gt;"",M13-MAX(0,L13-1),WORKDAY.INTL(M13,-(MAX(K13,1)-1),weekend,holidays))," - "))</f>
        <v>45413</v>
      </c>
      <c r="R13" s="402">
        <f t="shared" ref="R13:R47" si="27">IF(Q13=" - "," - ",MAX(M13,IF(L13&lt;&gt;"",Q13+MAX(0,L13-1),WORKDAY.INTL(IF(NETWORKDAYS.INTL(Q13,Q13,weekend,holidays)=0,WORKDAY.INTL(Q13,1,weekend,holidays),Q13),MAX(0,K13-1),weekend,holidays))))</f>
        <v>45536</v>
      </c>
      <c r="S13" s="403">
        <f t="shared" ref="S13:S47" si="28">IF(OR(NOT(ISNUMBER(Q13)),NOT(ISNUMBER(R13)))," - ",NETWORKDAYS.INTL(Q13,R13,weekend,holidays))</f>
        <v>83</v>
      </c>
      <c r="T13" s="403">
        <f>IF(OR(NOT(ISNUMBER(Q13)),NOT(ISNUMBER(R13)))," - ",R13-Q13+1)</f>
        <v>124</v>
      </c>
      <c r="U13" s="404"/>
      <c r="V13" s="404"/>
      <c r="W13" s="405"/>
      <c r="X13" s="406" t="str">
        <f t="shared" ref="X13:AM34" si="29">" "</f>
        <v xml:space="preserve"> </v>
      </c>
      <c r="Y13" s="406" t="str">
        <f t="shared" si="29"/>
        <v xml:space="preserve"> </v>
      </c>
      <c r="Z13" s="406" t="str">
        <f t="shared" si="29"/>
        <v xml:space="preserve"> </v>
      </c>
      <c r="AA13" s="406" t="str">
        <f t="shared" si="29"/>
        <v xml:space="preserve"> </v>
      </c>
      <c r="AB13" s="406" t="str">
        <f t="shared" si="29"/>
        <v xml:space="preserve"> </v>
      </c>
      <c r="AC13" s="406" t="str">
        <f t="shared" si="29"/>
        <v xml:space="preserve"> </v>
      </c>
      <c r="AD13" s="406" t="str">
        <f t="shared" si="29"/>
        <v xml:space="preserve"> </v>
      </c>
      <c r="AE13" s="406" t="str">
        <f t="shared" si="29"/>
        <v xml:space="preserve"> </v>
      </c>
      <c r="AF13" s="406" t="str">
        <f t="shared" si="29"/>
        <v xml:space="preserve"> </v>
      </c>
      <c r="AG13" s="406" t="str">
        <f t="shared" si="29"/>
        <v xml:space="preserve"> </v>
      </c>
      <c r="AH13" s="406" t="str">
        <f t="shared" si="29"/>
        <v xml:space="preserve"> </v>
      </c>
      <c r="AI13" s="406" t="str">
        <f t="shared" si="29"/>
        <v xml:space="preserve"> </v>
      </c>
      <c r="AJ13" s="406" t="str">
        <f t="shared" si="29"/>
        <v xml:space="preserve"> </v>
      </c>
      <c r="AK13" s="406" t="str">
        <f t="shared" si="29"/>
        <v xml:space="preserve"> </v>
      </c>
      <c r="AL13" s="406" t="str">
        <f t="shared" si="29"/>
        <v xml:space="preserve"> </v>
      </c>
      <c r="AM13" s="406" t="str">
        <f t="shared" si="29"/>
        <v xml:space="preserve"> </v>
      </c>
      <c r="AN13" s="406" t="str">
        <f t="shared" ref="AN13:BC34" si="30">" "</f>
        <v xml:space="preserve"> </v>
      </c>
      <c r="AO13" s="406" t="str">
        <f t="shared" si="30"/>
        <v xml:space="preserve"> </v>
      </c>
      <c r="AP13" s="406" t="str">
        <f t="shared" si="30"/>
        <v xml:space="preserve"> </v>
      </c>
      <c r="AQ13" s="406" t="str">
        <f t="shared" si="30"/>
        <v xml:space="preserve"> </v>
      </c>
      <c r="AR13" s="406" t="str">
        <f t="shared" si="30"/>
        <v xml:space="preserve"> </v>
      </c>
      <c r="AS13" s="406" t="str">
        <f t="shared" si="30"/>
        <v xml:space="preserve"> </v>
      </c>
      <c r="AT13" s="406" t="str">
        <f t="shared" si="30"/>
        <v xml:space="preserve"> </v>
      </c>
      <c r="AU13" s="406" t="str">
        <f t="shared" si="30"/>
        <v xml:space="preserve"> </v>
      </c>
      <c r="AV13" s="406" t="str">
        <f t="shared" si="30"/>
        <v xml:space="preserve"> </v>
      </c>
      <c r="AW13" s="406" t="str">
        <f t="shared" si="30"/>
        <v xml:space="preserve"> </v>
      </c>
      <c r="AX13" s="406" t="str">
        <f t="shared" si="30"/>
        <v xml:space="preserve"> </v>
      </c>
      <c r="AY13" s="406" t="str">
        <f t="shared" si="30"/>
        <v xml:space="preserve"> </v>
      </c>
      <c r="AZ13" s="406" t="str">
        <f t="shared" si="30"/>
        <v xml:space="preserve"> </v>
      </c>
      <c r="BA13" s="406" t="str">
        <f t="shared" si="30"/>
        <v xml:space="preserve"> </v>
      </c>
      <c r="BB13" s="406" t="str">
        <f t="shared" si="30"/>
        <v xml:space="preserve"> </v>
      </c>
      <c r="BC13" s="406" t="str">
        <f t="shared" si="30"/>
        <v xml:space="preserve"> </v>
      </c>
      <c r="BD13" s="406" t="str">
        <f t="shared" ref="BD13:BS34" si="31">" "</f>
        <v xml:space="preserve"> </v>
      </c>
      <c r="BE13" s="406" t="str">
        <f t="shared" si="31"/>
        <v xml:space="preserve"> </v>
      </c>
      <c r="BF13" s="406" t="str">
        <f t="shared" si="31"/>
        <v xml:space="preserve"> </v>
      </c>
      <c r="BG13" s="406" t="str">
        <f t="shared" si="31"/>
        <v xml:space="preserve"> </v>
      </c>
      <c r="BH13" s="406" t="str">
        <f t="shared" si="31"/>
        <v xml:space="preserve"> </v>
      </c>
      <c r="BI13" s="406" t="str">
        <f t="shared" si="31"/>
        <v xml:space="preserve"> </v>
      </c>
      <c r="BJ13" s="406" t="str">
        <f t="shared" si="31"/>
        <v xml:space="preserve"> </v>
      </c>
      <c r="BK13" s="406" t="str">
        <f t="shared" si="31"/>
        <v xml:space="preserve"> </v>
      </c>
      <c r="BL13" s="406" t="str">
        <f t="shared" si="31"/>
        <v xml:space="preserve"> </v>
      </c>
      <c r="BM13" s="406" t="str">
        <f t="shared" si="31"/>
        <v xml:space="preserve"> </v>
      </c>
      <c r="BN13" s="406" t="str">
        <f t="shared" si="31"/>
        <v xml:space="preserve"> </v>
      </c>
      <c r="BO13" s="406" t="str">
        <f t="shared" si="31"/>
        <v xml:space="preserve"> </v>
      </c>
      <c r="BP13" s="406" t="str">
        <f t="shared" si="31"/>
        <v xml:space="preserve"> </v>
      </c>
      <c r="BQ13" s="406" t="str">
        <f t="shared" si="31"/>
        <v xml:space="preserve"> </v>
      </c>
      <c r="BR13" s="406" t="str">
        <f t="shared" si="31"/>
        <v xml:space="preserve"> </v>
      </c>
      <c r="BS13" s="406" t="str">
        <f t="shared" si="31"/>
        <v xml:space="preserve"> </v>
      </c>
      <c r="BT13" s="406" t="str">
        <f t="shared" ref="BT13:CI34" si="32">" "</f>
        <v xml:space="preserve"> </v>
      </c>
      <c r="BU13" s="406" t="str">
        <f t="shared" si="32"/>
        <v xml:space="preserve"> </v>
      </c>
      <c r="BV13" s="406" t="str">
        <f t="shared" si="32"/>
        <v xml:space="preserve"> </v>
      </c>
      <c r="BW13" s="406" t="str">
        <f t="shared" si="32"/>
        <v xml:space="preserve"> </v>
      </c>
      <c r="BX13" s="406" t="str">
        <f t="shared" si="32"/>
        <v xml:space="preserve"> </v>
      </c>
      <c r="BY13" s="406" t="str">
        <f t="shared" si="32"/>
        <v xml:space="preserve"> </v>
      </c>
      <c r="BZ13" s="406" t="str">
        <f t="shared" si="32"/>
        <v xml:space="preserve"> </v>
      </c>
      <c r="CA13" s="406" t="str">
        <f t="shared" si="32"/>
        <v xml:space="preserve"> </v>
      </c>
      <c r="CB13" s="407" t="str">
        <f t="shared" si="32"/>
        <v xml:space="preserve"> </v>
      </c>
      <c r="CC13" s="407" t="str">
        <f t="shared" si="32"/>
        <v xml:space="preserve"> </v>
      </c>
      <c r="CD13" s="407" t="str">
        <f t="shared" si="32"/>
        <v xml:space="preserve"> </v>
      </c>
      <c r="CE13" s="407" t="str">
        <f t="shared" si="32"/>
        <v xml:space="preserve"> </v>
      </c>
      <c r="CF13" s="407" t="str">
        <f t="shared" si="32"/>
        <v xml:space="preserve"> </v>
      </c>
      <c r="CG13" s="407" t="str">
        <f t="shared" si="32"/>
        <v xml:space="preserve"> </v>
      </c>
      <c r="CH13" s="407" t="str">
        <f t="shared" si="32"/>
        <v xml:space="preserve"> </v>
      </c>
      <c r="CI13" s="407" t="str">
        <f t="shared" si="32"/>
        <v xml:space="preserve"> </v>
      </c>
      <c r="CJ13" s="407" t="str">
        <f t="shared" ref="CJ13:CY34" si="33">" "</f>
        <v xml:space="preserve"> </v>
      </c>
      <c r="CK13" s="407" t="str">
        <f t="shared" si="33"/>
        <v xml:space="preserve"> </v>
      </c>
      <c r="CL13" s="407" t="str">
        <f t="shared" si="33"/>
        <v xml:space="preserve"> </v>
      </c>
      <c r="CM13" s="407" t="str">
        <f t="shared" si="33"/>
        <v xml:space="preserve"> </v>
      </c>
      <c r="CN13" s="407" t="str">
        <f t="shared" si="33"/>
        <v xml:space="preserve"> </v>
      </c>
      <c r="CO13" s="407" t="str">
        <f t="shared" si="33"/>
        <v xml:space="preserve"> </v>
      </c>
      <c r="CP13" s="407" t="str">
        <f t="shared" si="33"/>
        <v xml:space="preserve"> </v>
      </c>
      <c r="CQ13" s="407" t="str">
        <f t="shared" si="33"/>
        <v xml:space="preserve"> </v>
      </c>
      <c r="CR13" s="407" t="str">
        <f t="shared" si="33"/>
        <v xml:space="preserve"> </v>
      </c>
      <c r="CS13" s="407" t="str">
        <f t="shared" si="33"/>
        <v xml:space="preserve"> </v>
      </c>
      <c r="CT13" s="407" t="str">
        <f t="shared" si="33"/>
        <v xml:space="preserve"> </v>
      </c>
      <c r="CU13" s="407" t="str">
        <f t="shared" si="33"/>
        <v xml:space="preserve"> </v>
      </c>
      <c r="CV13" s="407" t="str">
        <f t="shared" si="33"/>
        <v xml:space="preserve"> </v>
      </c>
      <c r="CW13" s="407" t="str">
        <f t="shared" si="33"/>
        <v xml:space="preserve"> </v>
      </c>
      <c r="CX13" s="407" t="str">
        <f t="shared" si="33"/>
        <v xml:space="preserve"> </v>
      </c>
      <c r="CY13" s="407" t="str">
        <f t="shared" si="33"/>
        <v xml:space="preserve"> </v>
      </c>
      <c r="CZ13" s="407" t="str">
        <f t="shared" ref="CZ13:DP33" si="34">" "</f>
        <v xml:space="preserve"> </v>
      </c>
      <c r="DA13" s="407" t="str">
        <f t="shared" si="34"/>
        <v xml:space="preserve"> </v>
      </c>
      <c r="DB13" s="407" t="str">
        <f t="shared" si="34"/>
        <v xml:space="preserve"> </v>
      </c>
      <c r="DC13" s="407" t="str">
        <f t="shared" si="34"/>
        <v xml:space="preserve"> </v>
      </c>
      <c r="DD13" s="407" t="str">
        <f t="shared" si="34"/>
        <v xml:space="preserve"> </v>
      </c>
      <c r="DE13" s="407" t="str">
        <f t="shared" si="34"/>
        <v xml:space="preserve"> </v>
      </c>
      <c r="DF13" s="407" t="str">
        <f t="shared" si="34"/>
        <v xml:space="preserve"> </v>
      </c>
      <c r="DG13" s="407" t="str">
        <f t="shared" si="34"/>
        <v xml:space="preserve"> </v>
      </c>
      <c r="DH13" s="407" t="str">
        <f t="shared" si="34"/>
        <v xml:space="preserve"> </v>
      </c>
      <c r="DI13" s="407" t="str">
        <f t="shared" si="34"/>
        <v xml:space="preserve"> </v>
      </c>
      <c r="DJ13" s="407" t="str">
        <f t="shared" si="34"/>
        <v xml:space="preserve"> </v>
      </c>
      <c r="DK13" s="407" t="str">
        <f t="shared" si="34"/>
        <v xml:space="preserve"> </v>
      </c>
      <c r="DL13" s="407" t="str">
        <f t="shared" si="34"/>
        <v xml:space="preserve"> </v>
      </c>
      <c r="DM13" s="407" t="str">
        <f t="shared" si="34"/>
        <v xml:space="preserve"> </v>
      </c>
      <c r="DN13" s="407" t="str">
        <f t="shared" si="34"/>
        <v xml:space="preserve"> </v>
      </c>
      <c r="DO13" s="407" t="str">
        <f t="shared" si="34"/>
        <v xml:space="preserve"> </v>
      </c>
      <c r="DP13" s="407" t="str">
        <f t="shared" si="34"/>
        <v xml:space="preserve"> </v>
      </c>
      <c r="DQ13" s="407" t="str">
        <f t="shared" ref="DQ13:EE34" si="35">" "</f>
        <v xml:space="preserve"> </v>
      </c>
      <c r="DR13" s="407" t="str">
        <f t="shared" si="35"/>
        <v xml:space="preserve"> </v>
      </c>
      <c r="DS13" s="407" t="str">
        <f t="shared" si="35"/>
        <v xml:space="preserve"> </v>
      </c>
      <c r="DT13" s="407" t="str">
        <f t="shared" si="35"/>
        <v xml:space="preserve"> </v>
      </c>
      <c r="DU13" s="407" t="str">
        <f t="shared" si="35"/>
        <v xml:space="preserve"> </v>
      </c>
      <c r="DV13" s="407" t="str">
        <f t="shared" si="35"/>
        <v xml:space="preserve"> </v>
      </c>
      <c r="DW13" s="407" t="str">
        <f t="shared" si="35"/>
        <v xml:space="preserve"> </v>
      </c>
      <c r="DX13" s="407" t="str">
        <f t="shared" si="35"/>
        <v xml:space="preserve"> </v>
      </c>
      <c r="DY13" s="407" t="str">
        <f t="shared" si="35"/>
        <v xml:space="preserve"> </v>
      </c>
      <c r="DZ13" s="407" t="str">
        <f t="shared" si="35"/>
        <v xml:space="preserve"> </v>
      </c>
      <c r="EA13" s="407" t="str">
        <f t="shared" si="35"/>
        <v xml:space="preserve"> </v>
      </c>
      <c r="EB13" s="407" t="str">
        <f t="shared" si="35"/>
        <v xml:space="preserve"> </v>
      </c>
      <c r="EC13" s="407" t="str">
        <f t="shared" si="35"/>
        <v xml:space="preserve"> </v>
      </c>
      <c r="ED13" s="407" t="str">
        <f t="shared" si="35"/>
        <v xml:space="preserve"> </v>
      </c>
      <c r="EE13" s="407" t="str">
        <f t="shared" si="35"/>
        <v xml:space="preserve"> </v>
      </c>
    </row>
    <row r="14" spans="1:136" s="408" customFormat="1" x14ac:dyDescent="0.25">
      <c r="A14" s="390">
        <v>2</v>
      </c>
      <c r="B14" s="391" t="str">
        <f t="shared" si="25"/>
        <v>1.1</v>
      </c>
      <c r="C14" s="393" t="s">
        <v>825</v>
      </c>
      <c r="D14" s="393"/>
      <c r="E14" s="394"/>
      <c r="F14" s="409"/>
      <c r="G14" s="410"/>
      <c r="H14" s="410"/>
      <c r="I14" s="410"/>
      <c r="J14" s="411">
        <f>C4</f>
        <v>45413</v>
      </c>
      <c r="K14" s="412"/>
      <c r="L14" s="413"/>
      <c r="M14" s="411">
        <v>45536</v>
      </c>
      <c r="N14" s="414" t="s">
        <v>864</v>
      </c>
      <c r="O14" s="415">
        <v>0.05</v>
      </c>
      <c r="P14" s="401">
        <v>3</v>
      </c>
      <c r="Q14" s="402">
        <f t="shared" si="26"/>
        <v>45413</v>
      </c>
      <c r="R14" s="402">
        <f t="shared" si="27"/>
        <v>45536</v>
      </c>
      <c r="S14" s="403">
        <f t="shared" si="28"/>
        <v>83</v>
      </c>
      <c r="T14" s="403">
        <f t="shared" ref="T14:T59" si="36">IF(OR(NOT(ISNUMBER(Q14)),NOT(ISNUMBER(R14)))," - ",R14-Q14+1)</f>
        <v>124</v>
      </c>
      <c r="U14" s="404"/>
      <c r="V14" s="404"/>
      <c r="W14" s="405"/>
      <c r="X14" s="406" t="str">
        <f t="shared" si="29"/>
        <v xml:space="preserve"> </v>
      </c>
      <c r="Y14" s="406" t="str">
        <f t="shared" si="29"/>
        <v xml:space="preserve"> </v>
      </c>
      <c r="Z14" s="406" t="str">
        <f t="shared" si="29"/>
        <v xml:space="preserve"> </v>
      </c>
      <c r="AA14" s="406" t="str">
        <f t="shared" si="29"/>
        <v xml:space="preserve"> </v>
      </c>
      <c r="AB14" s="406" t="str">
        <f t="shared" si="29"/>
        <v xml:space="preserve"> </v>
      </c>
      <c r="AC14" s="406" t="str">
        <f t="shared" si="29"/>
        <v xml:space="preserve"> </v>
      </c>
      <c r="AD14" s="406" t="str">
        <f t="shared" si="29"/>
        <v xml:space="preserve"> </v>
      </c>
      <c r="AE14" s="406" t="str">
        <f t="shared" si="29"/>
        <v xml:space="preserve"> </v>
      </c>
      <c r="AF14" s="406" t="str">
        <f t="shared" si="29"/>
        <v xml:space="preserve"> </v>
      </c>
      <c r="AG14" s="406" t="str">
        <f t="shared" si="29"/>
        <v xml:space="preserve"> </v>
      </c>
      <c r="AH14" s="406" t="str">
        <f t="shared" si="29"/>
        <v xml:space="preserve"> </v>
      </c>
      <c r="AI14" s="406" t="str">
        <f t="shared" si="29"/>
        <v xml:space="preserve"> </v>
      </c>
      <c r="AJ14" s="406" t="str">
        <f t="shared" si="29"/>
        <v xml:space="preserve"> </v>
      </c>
      <c r="AK14" s="406" t="str">
        <f t="shared" si="29"/>
        <v xml:space="preserve"> </v>
      </c>
      <c r="AL14" s="406" t="str">
        <f t="shared" si="29"/>
        <v xml:space="preserve"> </v>
      </c>
      <c r="AM14" s="406" t="str">
        <f t="shared" si="29"/>
        <v xml:space="preserve"> </v>
      </c>
      <c r="AN14" s="406" t="str">
        <f t="shared" si="30"/>
        <v xml:space="preserve"> </v>
      </c>
      <c r="AO14" s="406" t="str">
        <f t="shared" si="30"/>
        <v xml:space="preserve"> </v>
      </c>
      <c r="AP14" s="406" t="str">
        <f t="shared" si="30"/>
        <v xml:space="preserve"> </v>
      </c>
      <c r="AQ14" s="406" t="str">
        <f t="shared" si="30"/>
        <v xml:space="preserve"> </v>
      </c>
      <c r="AR14" s="406" t="str">
        <f t="shared" si="30"/>
        <v xml:space="preserve"> </v>
      </c>
      <c r="AS14" s="406" t="str">
        <f t="shared" si="30"/>
        <v xml:space="preserve"> </v>
      </c>
      <c r="AT14" s="406" t="str">
        <f t="shared" si="30"/>
        <v xml:space="preserve"> </v>
      </c>
      <c r="AU14" s="406" t="str">
        <f t="shared" si="30"/>
        <v xml:space="preserve"> </v>
      </c>
      <c r="AV14" s="406" t="str">
        <f t="shared" si="30"/>
        <v xml:space="preserve"> </v>
      </c>
      <c r="AW14" s="406" t="str">
        <f t="shared" si="30"/>
        <v xml:space="preserve"> </v>
      </c>
      <c r="AX14" s="406" t="str">
        <f t="shared" si="30"/>
        <v xml:space="preserve"> </v>
      </c>
      <c r="AY14" s="406" t="str">
        <f t="shared" si="30"/>
        <v xml:space="preserve"> </v>
      </c>
      <c r="AZ14" s="406" t="str">
        <f t="shared" si="30"/>
        <v xml:space="preserve"> </v>
      </c>
      <c r="BA14" s="406" t="str">
        <f t="shared" si="30"/>
        <v xml:space="preserve"> </v>
      </c>
      <c r="BB14" s="406" t="str">
        <f t="shared" si="30"/>
        <v xml:space="preserve"> </v>
      </c>
      <c r="BC14" s="406" t="str">
        <f t="shared" si="30"/>
        <v xml:space="preserve"> </v>
      </c>
      <c r="BD14" s="406" t="str">
        <f t="shared" si="31"/>
        <v xml:space="preserve"> </v>
      </c>
      <c r="BE14" s="406" t="str">
        <f t="shared" si="31"/>
        <v xml:space="preserve"> </v>
      </c>
      <c r="BF14" s="406" t="str">
        <f t="shared" si="31"/>
        <v xml:space="preserve"> </v>
      </c>
      <c r="BG14" s="406" t="str">
        <f t="shared" si="31"/>
        <v xml:space="preserve"> </v>
      </c>
      <c r="BH14" s="406" t="str">
        <f t="shared" si="31"/>
        <v xml:space="preserve"> </v>
      </c>
      <c r="BI14" s="406" t="str">
        <f t="shared" si="31"/>
        <v xml:space="preserve"> </v>
      </c>
      <c r="BJ14" s="406" t="str">
        <f t="shared" si="31"/>
        <v xml:space="preserve"> </v>
      </c>
      <c r="BK14" s="406" t="str">
        <f t="shared" si="31"/>
        <v xml:space="preserve"> </v>
      </c>
      <c r="BL14" s="406" t="str">
        <f t="shared" si="31"/>
        <v xml:space="preserve"> </v>
      </c>
      <c r="BM14" s="406" t="str">
        <f t="shared" si="31"/>
        <v xml:space="preserve"> </v>
      </c>
      <c r="BN14" s="406" t="str">
        <f t="shared" si="31"/>
        <v xml:space="preserve"> </v>
      </c>
      <c r="BO14" s="406" t="str">
        <f t="shared" si="31"/>
        <v xml:space="preserve"> </v>
      </c>
      <c r="BP14" s="406" t="str">
        <f t="shared" si="31"/>
        <v xml:space="preserve"> </v>
      </c>
      <c r="BQ14" s="406" t="str">
        <f t="shared" si="31"/>
        <v xml:space="preserve"> </v>
      </c>
      <c r="BR14" s="406" t="str">
        <f t="shared" si="31"/>
        <v xml:space="preserve"> </v>
      </c>
      <c r="BS14" s="406" t="str">
        <f t="shared" si="31"/>
        <v xml:space="preserve"> </v>
      </c>
      <c r="BT14" s="406" t="str">
        <f t="shared" si="32"/>
        <v xml:space="preserve"> </v>
      </c>
      <c r="BU14" s="406" t="str">
        <f t="shared" si="32"/>
        <v xml:space="preserve"> </v>
      </c>
      <c r="BV14" s="406" t="str">
        <f t="shared" si="32"/>
        <v xml:space="preserve"> </v>
      </c>
      <c r="BW14" s="406" t="str">
        <f t="shared" si="32"/>
        <v xml:space="preserve"> </v>
      </c>
      <c r="BX14" s="406" t="str">
        <f t="shared" si="32"/>
        <v xml:space="preserve"> </v>
      </c>
      <c r="BY14" s="406" t="str">
        <f t="shared" si="32"/>
        <v xml:space="preserve"> </v>
      </c>
      <c r="BZ14" s="406" t="str">
        <f t="shared" si="32"/>
        <v xml:space="preserve"> </v>
      </c>
      <c r="CA14" s="406" t="str">
        <f t="shared" si="32"/>
        <v xml:space="preserve"> </v>
      </c>
      <c r="CB14" s="407" t="str">
        <f t="shared" si="32"/>
        <v xml:space="preserve"> </v>
      </c>
      <c r="CC14" s="407" t="str">
        <f t="shared" si="32"/>
        <v xml:space="preserve"> </v>
      </c>
      <c r="CD14" s="407" t="str">
        <f t="shared" si="32"/>
        <v xml:space="preserve"> </v>
      </c>
      <c r="CE14" s="407" t="str">
        <f t="shared" si="32"/>
        <v xml:space="preserve"> </v>
      </c>
      <c r="CF14" s="407" t="str">
        <f t="shared" si="32"/>
        <v xml:space="preserve"> </v>
      </c>
      <c r="CG14" s="407" t="str">
        <f t="shared" si="32"/>
        <v xml:space="preserve"> </v>
      </c>
      <c r="CH14" s="407" t="str">
        <f t="shared" si="32"/>
        <v xml:space="preserve"> </v>
      </c>
      <c r="CI14" s="407" t="str">
        <f t="shared" si="32"/>
        <v xml:space="preserve"> </v>
      </c>
      <c r="CJ14" s="407" t="str">
        <f t="shared" si="33"/>
        <v xml:space="preserve"> </v>
      </c>
      <c r="CK14" s="407" t="str">
        <f t="shared" si="33"/>
        <v xml:space="preserve"> </v>
      </c>
      <c r="CL14" s="407" t="str">
        <f t="shared" si="33"/>
        <v xml:space="preserve"> </v>
      </c>
      <c r="CM14" s="407" t="str">
        <f t="shared" si="33"/>
        <v xml:space="preserve"> </v>
      </c>
      <c r="CN14" s="407" t="str">
        <f t="shared" si="33"/>
        <v xml:space="preserve"> </v>
      </c>
      <c r="CO14" s="407" t="str">
        <f t="shared" si="33"/>
        <v xml:space="preserve"> </v>
      </c>
      <c r="CP14" s="407" t="str">
        <f t="shared" si="33"/>
        <v xml:space="preserve"> </v>
      </c>
      <c r="CQ14" s="407" t="str">
        <f t="shared" si="33"/>
        <v xml:space="preserve"> </v>
      </c>
      <c r="CR14" s="407" t="str">
        <f t="shared" si="33"/>
        <v xml:space="preserve"> </v>
      </c>
      <c r="CS14" s="407" t="str">
        <f t="shared" si="33"/>
        <v xml:space="preserve"> </v>
      </c>
      <c r="CT14" s="407" t="str">
        <f t="shared" si="33"/>
        <v xml:space="preserve"> </v>
      </c>
      <c r="CU14" s="407" t="str">
        <f t="shared" si="33"/>
        <v xml:space="preserve"> </v>
      </c>
      <c r="CV14" s="407" t="str">
        <f t="shared" si="33"/>
        <v xml:space="preserve"> </v>
      </c>
      <c r="CW14" s="407" t="str">
        <f t="shared" si="33"/>
        <v xml:space="preserve"> </v>
      </c>
      <c r="CX14" s="407" t="str">
        <f t="shared" si="33"/>
        <v xml:space="preserve"> </v>
      </c>
      <c r="CY14" s="407" t="str">
        <f t="shared" si="33"/>
        <v xml:space="preserve"> </v>
      </c>
      <c r="CZ14" s="407" t="str">
        <f t="shared" si="34"/>
        <v xml:space="preserve"> </v>
      </c>
      <c r="DA14" s="407" t="str">
        <f t="shared" si="34"/>
        <v xml:space="preserve"> </v>
      </c>
      <c r="DB14" s="407" t="str">
        <f t="shared" si="34"/>
        <v xml:space="preserve"> </v>
      </c>
      <c r="DC14" s="407" t="str">
        <f t="shared" si="34"/>
        <v xml:space="preserve"> </v>
      </c>
      <c r="DD14" s="407" t="str">
        <f t="shared" si="34"/>
        <v xml:space="preserve"> </v>
      </c>
      <c r="DE14" s="407" t="str">
        <f t="shared" si="34"/>
        <v xml:space="preserve"> </v>
      </c>
      <c r="DF14" s="407" t="str">
        <f t="shared" si="34"/>
        <v xml:space="preserve"> </v>
      </c>
      <c r="DG14" s="407" t="str">
        <f t="shared" si="34"/>
        <v xml:space="preserve"> </v>
      </c>
      <c r="DH14" s="407" t="str">
        <f t="shared" si="34"/>
        <v xml:space="preserve"> </v>
      </c>
      <c r="DI14" s="407" t="str">
        <f t="shared" si="34"/>
        <v xml:space="preserve"> </v>
      </c>
      <c r="DJ14" s="407" t="str">
        <f t="shared" si="34"/>
        <v xml:space="preserve"> </v>
      </c>
      <c r="DK14" s="407" t="str">
        <f t="shared" si="34"/>
        <v xml:space="preserve"> </v>
      </c>
      <c r="DL14" s="407" t="str">
        <f t="shared" si="34"/>
        <v xml:space="preserve"> </v>
      </c>
      <c r="DM14" s="407" t="str">
        <f t="shared" si="34"/>
        <v xml:space="preserve"> </v>
      </c>
      <c r="DN14" s="407" t="str">
        <f t="shared" si="34"/>
        <v xml:space="preserve"> </v>
      </c>
      <c r="DO14" s="407" t="str">
        <f t="shared" si="34"/>
        <v xml:space="preserve"> </v>
      </c>
      <c r="DP14" s="407" t="str">
        <f t="shared" si="34"/>
        <v xml:space="preserve"> </v>
      </c>
      <c r="DQ14" s="407" t="str">
        <f t="shared" si="35"/>
        <v xml:space="preserve"> </v>
      </c>
      <c r="DR14" s="407" t="str">
        <f t="shared" si="35"/>
        <v xml:space="preserve"> </v>
      </c>
      <c r="DS14" s="407" t="str">
        <f t="shared" si="35"/>
        <v xml:space="preserve"> </v>
      </c>
      <c r="DT14" s="407" t="str">
        <f t="shared" si="35"/>
        <v xml:space="preserve"> </v>
      </c>
      <c r="DU14" s="407" t="str">
        <f t="shared" si="35"/>
        <v xml:space="preserve"> </v>
      </c>
      <c r="DV14" s="407" t="str">
        <f t="shared" si="35"/>
        <v xml:space="preserve"> </v>
      </c>
      <c r="DW14" s="407" t="str">
        <f t="shared" si="35"/>
        <v xml:space="preserve"> </v>
      </c>
      <c r="DX14" s="407" t="str">
        <f t="shared" si="35"/>
        <v xml:space="preserve"> </v>
      </c>
      <c r="DY14" s="407" t="str">
        <f t="shared" si="35"/>
        <v xml:space="preserve"> </v>
      </c>
      <c r="DZ14" s="407" t="str">
        <f t="shared" si="35"/>
        <v xml:space="preserve"> </v>
      </c>
      <c r="EA14" s="407" t="str">
        <f t="shared" si="35"/>
        <v xml:space="preserve"> </v>
      </c>
      <c r="EB14" s="407" t="str">
        <f t="shared" si="35"/>
        <v xml:space="preserve"> </v>
      </c>
      <c r="EC14" s="407" t="str">
        <f t="shared" si="35"/>
        <v xml:space="preserve"> </v>
      </c>
      <c r="ED14" s="407" t="str">
        <f t="shared" si="35"/>
        <v xml:space="preserve"> </v>
      </c>
      <c r="EE14" s="407" t="str">
        <f t="shared" si="35"/>
        <v xml:space="preserve"> </v>
      </c>
    </row>
    <row r="15" spans="1:136" s="408" customFormat="1" x14ac:dyDescent="0.25">
      <c r="A15" s="390">
        <v>2</v>
      </c>
      <c r="B15" s="391" t="str">
        <f t="shared" si="25"/>
        <v>1.2</v>
      </c>
      <c r="C15" s="393" t="s">
        <v>903</v>
      </c>
      <c r="D15" s="393"/>
      <c r="E15" s="394"/>
      <c r="F15" s="409"/>
      <c r="G15" s="410"/>
      <c r="H15" s="410"/>
      <c r="I15" s="410"/>
      <c r="J15" s="411">
        <v>45474</v>
      </c>
      <c r="K15" s="412"/>
      <c r="L15" s="413"/>
      <c r="M15" s="411">
        <v>45536</v>
      </c>
      <c r="N15" s="414" t="s">
        <v>865</v>
      </c>
      <c r="O15" s="415">
        <v>0.05</v>
      </c>
      <c r="P15" s="401">
        <v>3</v>
      </c>
      <c r="Q15" s="402">
        <f t="shared" si="26"/>
        <v>45474</v>
      </c>
      <c r="R15" s="402">
        <f t="shared" si="27"/>
        <v>45536</v>
      </c>
      <c r="S15" s="403">
        <f t="shared" si="28"/>
        <v>42</v>
      </c>
      <c r="T15" s="403">
        <f t="shared" si="36"/>
        <v>63</v>
      </c>
      <c r="U15" s="404"/>
      <c r="V15" s="404"/>
      <c r="W15" s="405"/>
      <c r="X15" s="406" t="str">
        <f t="shared" si="29"/>
        <v xml:space="preserve"> </v>
      </c>
      <c r="Y15" s="406" t="str">
        <f t="shared" si="29"/>
        <v xml:space="preserve"> </v>
      </c>
      <c r="Z15" s="406" t="str">
        <f t="shared" si="29"/>
        <v xml:space="preserve"> </v>
      </c>
      <c r="AA15" s="406" t="str">
        <f t="shared" si="29"/>
        <v xml:space="preserve"> </v>
      </c>
      <c r="AB15" s="406" t="str">
        <f t="shared" si="29"/>
        <v xml:space="preserve"> </v>
      </c>
      <c r="AC15" s="406" t="str">
        <f t="shared" si="29"/>
        <v xml:space="preserve"> </v>
      </c>
      <c r="AD15" s="406" t="str">
        <f t="shared" si="29"/>
        <v xml:space="preserve"> </v>
      </c>
      <c r="AE15" s="406" t="str">
        <f t="shared" si="29"/>
        <v xml:space="preserve"> </v>
      </c>
      <c r="AF15" s="406" t="str">
        <f t="shared" si="29"/>
        <v xml:space="preserve"> </v>
      </c>
      <c r="AG15" s="406" t="str">
        <f t="shared" si="29"/>
        <v xml:space="preserve"> </v>
      </c>
      <c r="AH15" s="406" t="str">
        <f t="shared" si="29"/>
        <v xml:space="preserve"> </v>
      </c>
      <c r="AI15" s="406" t="str">
        <f t="shared" si="29"/>
        <v xml:space="preserve"> </v>
      </c>
      <c r="AJ15" s="406" t="str">
        <f t="shared" si="29"/>
        <v xml:space="preserve"> </v>
      </c>
      <c r="AK15" s="406" t="str">
        <f t="shared" si="29"/>
        <v xml:space="preserve"> </v>
      </c>
      <c r="AL15" s="406" t="str">
        <f t="shared" si="29"/>
        <v xml:space="preserve"> </v>
      </c>
      <c r="AM15" s="406" t="str">
        <f t="shared" si="29"/>
        <v xml:space="preserve"> </v>
      </c>
      <c r="AN15" s="406" t="str">
        <f t="shared" si="30"/>
        <v xml:space="preserve"> </v>
      </c>
      <c r="AO15" s="406" t="str">
        <f t="shared" si="30"/>
        <v xml:space="preserve"> </v>
      </c>
      <c r="AP15" s="406" t="str">
        <f t="shared" si="30"/>
        <v xml:space="preserve"> </v>
      </c>
      <c r="AQ15" s="406" t="str">
        <f t="shared" si="30"/>
        <v xml:space="preserve"> </v>
      </c>
      <c r="AR15" s="406" t="str">
        <f t="shared" si="30"/>
        <v xml:space="preserve"> </v>
      </c>
      <c r="AS15" s="406" t="str">
        <f t="shared" si="30"/>
        <v xml:space="preserve"> </v>
      </c>
      <c r="AT15" s="406" t="str">
        <f t="shared" si="30"/>
        <v xml:space="preserve"> </v>
      </c>
      <c r="AU15" s="406" t="str">
        <f t="shared" si="30"/>
        <v xml:space="preserve"> </v>
      </c>
      <c r="AV15" s="406" t="str">
        <f t="shared" si="30"/>
        <v xml:space="preserve"> </v>
      </c>
      <c r="AW15" s="406" t="str">
        <f t="shared" si="30"/>
        <v xml:space="preserve"> </v>
      </c>
      <c r="AX15" s="406" t="str">
        <f t="shared" si="30"/>
        <v xml:space="preserve"> </v>
      </c>
      <c r="AY15" s="406" t="str">
        <f t="shared" si="30"/>
        <v xml:space="preserve"> </v>
      </c>
      <c r="AZ15" s="406" t="str">
        <f t="shared" si="30"/>
        <v xml:space="preserve"> </v>
      </c>
      <c r="BA15" s="406" t="str">
        <f t="shared" si="30"/>
        <v xml:space="preserve"> </v>
      </c>
      <c r="BB15" s="406" t="str">
        <f t="shared" si="30"/>
        <v xml:space="preserve"> </v>
      </c>
      <c r="BC15" s="406" t="str">
        <f t="shared" si="30"/>
        <v xml:space="preserve"> </v>
      </c>
      <c r="BD15" s="406" t="str">
        <f t="shared" si="31"/>
        <v xml:space="preserve"> </v>
      </c>
      <c r="BE15" s="406" t="str">
        <f t="shared" si="31"/>
        <v xml:space="preserve"> </v>
      </c>
      <c r="BF15" s="406" t="str">
        <f t="shared" si="31"/>
        <v xml:space="preserve"> </v>
      </c>
      <c r="BG15" s="406" t="str">
        <f t="shared" si="31"/>
        <v xml:space="preserve"> </v>
      </c>
      <c r="BH15" s="406" t="str">
        <f t="shared" si="31"/>
        <v xml:space="preserve"> </v>
      </c>
      <c r="BI15" s="406" t="str">
        <f t="shared" si="31"/>
        <v xml:space="preserve"> </v>
      </c>
      <c r="BJ15" s="406" t="str">
        <f t="shared" si="31"/>
        <v xml:space="preserve"> </v>
      </c>
      <c r="BK15" s="406" t="str">
        <f t="shared" si="31"/>
        <v xml:space="preserve"> </v>
      </c>
      <c r="BL15" s="406" t="str">
        <f t="shared" si="31"/>
        <v xml:space="preserve"> </v>
      </c>
      <c r="BM15" s="406" t="str">
        <f t="shared" si="31"/>
        <v xml:space="preserve"> </v>
      </c>
      <c r="BN15" s="406" t="str">
        <f t="shared" si="31"/>
        <v xml:space="preserve"> </v>
      </c>
      <c r="BO15" s="406" t="str">
        <f t="shared" si="31"/>
        <v xml:space="preserve"> </v>
      </c>
      <c r="BP15" s="406" t="str">
        <f t="shared" si="31"/>
        <v xml:space="preserve"> </v>
      </c>
      <c r="BQ15" s="406" t="str">
        <f t="shared" si="31"/>
        <v xml:space="preserve"> </v>
      </c>
      <c r="BR15" s="406" t="str">
        <f t="shared" si="31"/>
        <v xml:space="preserve"> </v>
      </c>
      <c r="BS15" s="406" t="str">
        <f t="shared" si="31"/>
        <v xml:space="preserve"> </v>
      </c>
      <c r="BT15" s="406" t="str">
        <f t="shared" si="32"/>
        <v xml:space="preserve"> </v>
      </c>
      <c r="BU15" s="406" t="str">
        <f t="shared" si="32"/>
        <v xml:space="preserve"> </v>
      </c>
      <c r="BV15" s="406" t="str">
        <f t="shared" si="32"/>
        <v xml:space="preserve"> </v>
      </c>
      <c r="BW15" s="406" t="str">
        <f t="shared" si="32"/>
        <v xml:space="preserve"> </v>
      </c>
      <c r="BX15" s="406" t="str">
        <f t="shared" si="32"/>
        <v xml:space="preserve"> </v>
      </c>
      <c r="BY15" s="406" t="str">
        <f t="shared" si="32"/>
        <v xml:space="preserve"> </v>
      </c>
      <c r="BZ15" s="406" t="str">
        <f t="shared" si="32"/>
        <v xml:space="preserve"> </v>
      </c>
      <c r="CA15" s="406" t="str">
        <f t="shared" si="32"/>
        <v xml:space="preserve"> </v>
      </c>
      <c r="CB15" s="407" t="str">
        <f t="shared" si="32"/>
        <v xml:space="preserve"> </v>
      </c>
      <c r="CC15" s="407" t="str">
        <f t="shared" si="32"/>
        <v xml:space="preserve"> </v>
      </c>
      <c r="CD15" s="407" t="str">
        <f t="shared" si="32"/>
        <v xml:space="preserve"> </v>
      </c>
      <c r="CE15" s="407" t="str">
        <f t="shared" si="32"/>
        <v xml:space="preserve"> </v>
      </c>
      <c r="CF15" s="407" t="str">
        <f t="shared" si="32"/>
        <v xml:space="preserve"> </v>
      </c>
      <c r="CG15" s="407" t="str">
        <f t="shared" si="32"/>
        <v xml:space="preserve"> </v>
      </c>
      <c r="CH15" s="407" t="str">
        <f t="shared" si="32"/>
        <v xml:space="preserve"> </v>
      </c>
      <c r="CI15" s="407" t="str">
        <f t="shared" si="32"/>
        <v xml:space="preserve"> </v>
      </c>
      <c r="CJ15" s="407" t="str">
        <f t="shared" si="33"/>
        <v xml:space="preserve"> </v>
      </c>
      <c r="CK15" s="407" t="str">
        <f t="shared" si="33"/>
        <v xml:space="preserve"> </v>
      </c>
      <c r="CL15" s="407" t="str">
        <f t="shared" si="33"/>
        <v xml:space="preserve"> </v>
      </c>
      <c r="CM15" s="407" t="str">
        <f t="shared" si="33"/>
        <v xml:space="preserve"> </v>
      </c>
      <c r="CN15" s="407" t="str">
        <f t="shared" si="33"/>
        <v xml:space="preserve"> </v>
      </c>
      <c r="CO15" s="407" t="str">
        <f t="shared" si="33"/>
        <v xml:space="preserve"> </v>
      </c>
      <c r="CP15" s="407" t="str">
        <f t="shared" si="33"/>
        <v xml:space="preserve"> </v>
      </c>
      <c r="CQ15" s="407" t="str">
        <f t="shared" si="33"/>
        <v xml:space="preserve"> </v>
      </c>
      <c r="CR15" s="407" t="str">
        <f t="shared" si="33"/>
        <v xml:space="preserve"> </v>
      </c>
      <c r="CS15" s="407" t="str">
        <f t="shared" si="33"/>
        <v xml:space="preserve"> </v>
      </c>
      <c r="CT15" s="407" t="str">
        <f t="shared" si="33"/>
        <v xml:space="preserve"> </v>
      </c>
      <c r="CU15" s="407" t="str">
        <f t="shared" si="33"/>
        <v xml:space="preserve"> </v>
      </c>
      <c r="CV15" s="407" t="str">
        <f t="shared" si="33"/>
        <v xml:space="preserve"> </v>
      </c>
      <c r="CW15" s="407" t="str">
        <f t="shared" si="33"/>
        <v xml:space="preserve"> </v>
      </c>
      <c r="CX15" s="407" t="str">
        <f t="shared" si="33"/>
        <v xml:space="preserve"> </v>
      </c>
      <c r="CY15" s="407" t="str">
        <f t="shared" si="33"/>
        <v xml:space="preserve"> </v>
      </c>
      <c r="CZ15" s="407" t="str">
        <f t="shared" si="34"/>
        <v xml:space="preserve"> </v>
      </c>
      <c r="DA15" s="407" t="str">
        <f t="shared" si="34"/>
        <v xml:space="preserve"> </v>
      </c>
      <c r="DB15" s="407" t="str">
        <f t="shared" si="34"/>
        <v xml:space="preserve"> </v>
      </c>
      <c r="DC15" s="407" t="str">
        <f t="shared" si="34"/>
        <v xml:space="preserve"> </v>
      </c>
      <c r="DD15" s="407" t="str">
        <f t="shared" si="34"/>
        <v xml:space="preserve"> </v>
      </c>
      <c r="DE15" s="407" t="str">
        <f t="shared" si="34"/>
        <v xml:space="preserve"> </v>
      </c>
      <c r="DF15" s="407" t="str">
        <f t="shared" si="34"/>
        <v xml:space="preserve"> </v>
      </c>
      <c r="DG15" s="407" t="str">
        <f t="shared" si="34"/>
        <v xml:space="preserve"> </v>
      </c>
      <c r="DH15" s="407" t="str">
        <f t="shared" si="34"/>
        <v xml:space="preserve"> </v>
      </c>
      <c r="DI15" s="407" t="str">
        <f t="shared" si="34"/>
        <v xml:space="preserve"> </v>
      </c>
      <c r="DJ15" s="407" t="str">
        <f t="shared" si="34"/>
        <v xml:space="preserve"> </v>
      </c>
      <c r="DK15" s="407" t="str">
        <f t="shared" si="34"/>
        <v xml:space="preserve"> </v>
      </c>
      <c r="DL15" s="407" t="str">
        <f t="shared" si="34"/>
        <v xml:space="preserve"> </v>
      </c>
      <c r="DM15" s="407" t="str">
        <f t="shared" si="34"/>
        <v xml:space="preserve"> </v>
      </c>
      <c r="DN15" s="407" t="str">
        <f t="shared" si="34"/>
        <v xml:space="preserve"> </v>
      </c>
      <c r="DO15" s="407" t="str">
        <f t="shared" si="34"/>
        <v xml:space="preserve"> </v>
      </c>
      <c r="DP15" s="407" t="str">
        <f t="shared" si="34"/>
        <v xml:space="preserve"> </v>
      </c>
      <c r="DQ15" s="407" t="str">
        <f t="shared" si="35"/>
        <v xml:space="preserve"> </v>
      </c>
      <c r="DR15" s="407" t="str">
        <f t="shared" si="35"/>
        <v xml:space="preserve"> </v>
      </c>
      <c r="DS15" s="407" t="str">
        <f t="shared" si="35"/>
        <v xml:space="preserve"> </v>
      </c>
      <c r="DT15" s="407" t="str">
        <f t="shared" si="35"/>
        <v xml:space="preserve"> </v>
      </c>
      <c r="DU15" s="407" t="str">
        <f t="shared" si="35"/>
        <v xml:space="preserve"> </v>
      </c>
      <c r="DV15" s="407" t="str">
        <f t="shared" si="35"/>
        <v xml:space="preserve"> </v>
      </c>
      <c r="DW15" s="407" t="str">
        <f t="shared" si="35"/>
        <v xml:space="preserve"> </v>
      </c>
      <c r="DX15" s="407" t="str">
        <f t="shared" si="35"/>
        <v xml:space="preserve"> </v>
      </c>
      <c r="DY15" s="407" t="str">
        <f t="shared" si="35"/>
        <v xml:space="preserve"> </v>
      </c>
      <c r="DZ15" s="407" t="str">
        <f t="shared" si="35"/>
        <v xml:space="preserve"> </v>
      </c>
      <c r="EA15" s="407" t="str">
        <f t="shared" si="35"/>
        <v xml:space="preserve"> </v>
      </c>
      <c r="EB15" s="407" t="str">
        <f t="shared" si="35"/>
        <v xml:space="preserve"> </v>
      </c>
      <c r="EC15" s="407" t="str">
        <f t="shared" si="35"/>
        <v xml:space="preserve"> </v>
      </c>
      <c r="ED15" s="407" t="str">
        <f t="shared" si="35"/>
        <v xml:space="preserve"> </v>
      </c>
      <c r="EE15" s="407" t="str">
        <f t="shared" si="35"/>
        <v xml:space="preserve"> </v>
      </c>
    </row>
    <row r="16" spans="1:136" s="408" customFormat="1" x14ac:dyDescent="0.25">
      <c r="A16" s="390">
        <v>2</v>
      </c>
      <c r="B16" s="391" t="str">
        <f t="shared" si="25"/>
        <v>1.3</v>
      </c>
      <c r="C16" s="393" t="s">
        <v>827</v>
      </c>
      <c r="D16" s="393"/>
      <c r="E16" s="394"/>
      <c r="F16" s="409"/>
      <c r="G16" s="410"/>
      <c r="H16" s="410"/>
      <c r="I16" s="410"/>
      <c r="J16" s="411">
        <v>45474</v>
      </c>
      <c r="K16" s="412"/>
      <c r="L16" s="413"/>
      <c r="M16" s="411">
        <v>45536</v>
      </c>
      <c r="N16" s="414" t="s">
        <v>865</v>
      </c>
      <c r="O16" s="415">
        <v>0</v>
      </c>
      <c r="P16" s="401" t="s">
        <v>866</v>
      </c>
      <c r="Q16" s="402">
        <f t="shared" si="26"/>
        <v>45474</v>
      </c>
      <c r="R16" s="402">
        <f t="shared" si="27"/>
        <v>45536</v>
      </c>
      <c r="S16" s="403">
        <f t="shared" si="28"/>
        <v>42</v>
      </c>
      <c r="T16" s="403">
        <f t="shared" si="36"/>
        <v>63</v>
      </c>
      <c r="U16" s="404"/>
      <c r="V16" s="404"/>
      <c r="W16" s="405"/>
      <c r="X16" s="406" t="str">
        <f t="shared" si="29"/>
        <v xml:space="preserve"> </v>
      </c>
      <c r="Y16" s="406" t="str">
        <f t="shared" si="29"/>
        <v xml:space="preserve"> </v>
      </c>
      <c r="Z16" s="406" t="str">
        <f t="shared" si="29"/>
        <v xml:space="preserve"> </v>
      </c>
      <c r="AA16" s="406" t="str">
        <f t="shared" si="29"/>
        <v xml:space="preserve"> </v>
      </c>
      <c r="AB16" s="406" t="str">
        <f t="shared" si="29"/>
        <v xml:space="preserve"> </v>
      </c>
      <c r="AC16" s="406" t="str">
        <f t="shared" si="29"/>
        <v xml:space="preserve"> </v>
      </c>
      <c r="AD16" s="406" t="str">
        <f t="shared" si="29"/>
        <v xml:space="preserve"> </v>
      </c>
      <c r="AE16" s="406" t="str">
        <f t="shared" si="29"/>
        <v xml:space="preserve"> </v>
      </c>
      <c r="AF16" s="406" t="str">
        <f t="shared" si="29"/>
        <v xml:space="preserve"> </v>
      </c>
      <c r="AG16" s="406" t="str">
        <f t="shared" si="29"/>
        <v xml:space="preserve"> </v>
      </c>
      <c r="AH16" s="406" t="str">
        <f t="shared" si="29"/>
        <v xml:space="preserve"> </v>
      </c>
      <c r="AI16" s="406" t="str">
        <f t="shared" si="29"/>
        <v xml:space="preserve"> </v>
      </c>
      <c r="AJ16" s="406" t="str">
        <f t="shared" si="29"/>
        <v xml:space="preserve"> </v>
      </c>
      <c r="AK16" s="406" t="str">
        <f t="shared" si="29"/>
        <v xml:space="preserve"> </v>
      </c>
      <c r="AL16" s="406" t="str">
        <f t="shared" si="29"/>
        <v xml:space="preserve"> </v>
      </c>
      <c r="AM16" s="406" t="str">
        <f t="shared" si="29"/>
        <v xml:space="preserve"> </v>
      </c>
      <c r="AN16" s="406" t="str">
        <f t="shared" si="30"/>
        <v xml:space="preserve"> </v>
      </c>
      <c r="AO16" s="406" t="str">
        <f t="shared" si="30"/>
        <v xml:space="preserve"> </v>
      </c>
      <c r="AP16" s="406" t="str">
        <f t="shared" si="30"/>
        <v xml:space="preserve"> </v>
      </c>
      <c r="AQ16" s="406" t="str">
        <f t="shared" si="30"/>
        <v xml:space="preserve"> </v>
      </c>
      <c r="AR16" s="406" t="str">
        <f t="shared" si="30"/>
        <v xml:space="preserve"> </v>
      </c>
      <c r="AS16" s="406" t="str">
        <f t="shared" si="30"/>
        <v xml:space="preserve"> </v>
      </c>
      <c r="AT16" s="406" t="str">
        <f t="shared" si="30"/>
        <v xml:space="preserve"> </v>
      </c>
      <c r="AU16" s="406" t="str">
        <f t="shared" si="30"/>
        <v xml:space="preserve"> </v>
      </c>
      <c r="AV16" s="406" t="str">
        <f t="shared" si="30"/>
        <v xml:space="preserve"> </v>
      </c>
      <c r="AW16" s="406" t="str">
        <f t="shared" si="30"/>
        <v xml:space="preserve"> </v>
      </c>
      <c r="AX16" s="406" t="str">
        <f t="shared" si="30"/>
        <v xml:space="preserve"> </v>
      </c>
      <c r="AY16" s="406" t="str">
        <f t="shared" si="30"/>
        <v xml:space="preserve"> </v>
      </c>
      <c r="AZ16" s="406" t="str">
        <f t="shared" si="30"/>
        <v xml:space="preserve"> </v>
      </c>
      <c r="BA16" s="406" t="str">
        <f t="shared" si="30"/>
        <v xml:space="preserve"> </v>
      </c>
      <c r="BB16" s="406" t="str">
        <f t="shared" si="30"/>
        <v xml:space="preserve"> </v>
      </c>
      <c r="BC16" s="406" t="str">
        <f t="shared" si="30"/>
        <v xml:space="preserve"> </v>
      </c>
      <c r="BD16" s="406" t="str">
        <f t="shared" si="31"/>
        <v xml:space="preserve"> </v>
      </c>
      <c r="BE16" s="406" t="str">
        <f t="shared" si="31"/>
        <v xml:space="preserve"> </v>
      </c>
      <c r="BF16" s="406" t="str">
        <f t="shared" si="31"/>
        <v xml:space="preserve"> </v>
      </c>
      <c r="BG16" s="406" t="str">
        <f t="shared" si="31"/>
        <v xml:space="preserve"> </v>
      </c>
      <c r="BH16" s="406" t="str">
        <f t="shared" si="31"/>
        <v xml:space="preserve"> </v>
      </c>
      <c r="BI16" s="406" t="str">
        <f t="shared" si="31"/>
        <v xml:space="preserve"> </v>
      </c>
      <c r="BJ16" s="406" t="str">
        <f t="shared" si="31"/>
        <v xml:space="preserve"> </v>
      </c>
      <c r="BK16" s="406" t="str">
        <f t="shared" si="31"/>
        <v xml:space="preserve"> </v>
      </c>
      <c r="BL16" s="406" t="str">
        <f t="shared" si="31"/>
        <v xml:space="preserve"> </v>
      </c>
      <c r="BM16" s="406" t="str">
        <f t="shared" si="31"/>
        <v xml:space="preserve"> </v>
      </c>
      <c r="BN16" s="406" t="str">
        <f t="shared" si="31"/>
        <v xml:space="preserve"> </v>
      </c>
      <c r="BO16" s="406" t="str">
        <f t="shared" si="31"/>
        <v xml:space="preserve"> </v>
      </c>
      <c r="BP16" s="406" t="str">
        <f t="shared" si="31"/>
        <v xml:space="preserve"> </v>
      </c>
      <c r="BQ16" s="406" t="str">
        <f t="shared" si="31"/>
        <v xml:space="preserve"> </v>
      </c>
      <c r="BR16" s="406" t="str">
        <f t="shared" si="31"/>
        <v xml:space="preserve"> </v>
      </c>
      <c r="BS16" s="406" t="str">
        <f t="shared" si="31"/>
        <v xml:space="preserve"> </v>
      </c>
      <c r="BT16" s="406" t="str">
        <f t="shared" si="32"/>
        <v xml:space="preserve"> </v>
      </c>
      <c r="BU16" s="406" t="str">
        <f t="shared" si="32"/>
        <v xml:space="preserve"> </v>
      </c>
      <c r="BV16" s="406" t="str">
        <f t="shared" si="32"/>
        <v xml:space="preserve"> </v>
      </c>
      <c r="BW16" s="406" t="str">
        <f t="shared" si="32"/>
        <v xml:space="preserve"> </v>
      </c>
      <c r="BX16" s="406" t="str">
        <f t="shared" si="32"/>
        <v xml:space="preserve"> </v>
      </c>
      <c r="BY16" s="406" t="str">
        <f t="shared" si="32"/>
        <v xml:space="preserve"> </v>
      </c>
      <c r="BZ16" s="406" t="str">
        <f t="shared" si="32"/>
        <v xml:space="preserve"> </v>
      </c>
      <c r="CA16" s="406" t="str">
        <f t="shared" si="32"/>
        <v xml:space="preserve"> </v>
      </c>
      <c r="CB16" s="407" t="str">
        <f t="shared" si="32"/>
        <v xml:space="preserve"> </v>
      </c>
      <c r="CC16" s="407" t="str">
        <f t="shared" si="32"/>
        <v xml:space="preserve"> </v>
      </c>
      <c r="CD16" s="407" t="str">
        <f t="shared" si="32"/>
        <v xml:space="preserve"> </v>
      </c>
      <c r="CE16" s="407" t="str">
        <f t="shared" si="32"/>
        <v xml:space="preserve"> </v>
      </c>
      <c r="CF16" s="407" t="str">
        <f t="shared" si="32"/>
        <v xml:space="preserve"> </v>
      </c>
      <c r="CG16" s="407" t="str">
        <f t="shared" si="32"/>
        <v xml:space="preserve"> </v>
      </c>
      <c r="CH16" s="407" t="str">
        <f t="shared" si="32"/>
        <v xml:space="preserve"> </v>
      </c>
      <c r="CI16" s="407" t="str">
        <f t="shared" si="32"/>
        <v xml:space="preserve"> </v>
      </c>
      <c r="CJ16" s="407" t="str">
        <f t="shared" si="33"/>
        <v xml:space="preserve"> </v>
      </c>
      <c r="CK16" s="407" t="str">
        <f t="shared" si="33"/>
        <v xml:space="preserve"> </v>
      </c>
      <c r="CL16" s="407" t="str">
        <f t="shared" si="33"/>
        <v xml:space="preserve"> </v>
      </c>
      <c r="CM16" s="407" t="str">
        <f t="shared" si="33"/>
        <v xml:space="preserve"> </v>
      </c>
      <c r="CN16" s="407" t="str">
        <f t="shared" si="33"/>
        <v xml:space="preserve"> </v>
      </c>
      <c r="CO16" s="407" t="str">
        <f t="shared" si="33"/>
        <v xml:space="preserve"> </v>
      </c>
      <c r="CP16" s="407" t="str">
        <f t="shared" si="33"/>
        <v xml:space="preserve"> </v>
      </c>
      <c r="CQ16" s="407" t="str">
        <f t="shared" si="33"/>
        <v xml:space="preserve"> </v>
      </c>
      <c r="CR16" s="407" t="str">
        <f t="shared" si="33"/>
        <v xml:space="preserve"> </v>
      </c>
      <c r="CS16" s="407" t="str">
        <f t="shared" si="33"/>
        <v xml:space="preserve"> </v>
      </c>
      <c r="CT16" s="407" t="str">
        <f t="shared" si="33"/>
        <v xml:space="preserve"> </v>
      </c>
      <c r="CU16" s="407" t="str">
        <f t="shared" si="33"/>
        <v xml:space="preserve"> </v>
      </c>
      <c r="CV16" s="407" t="str">
        <f t="shared" si="33"/>
        <v xml:space="preserve"> </v>
      </c>
      <c r="CW16" s="407" t="str">
        <f t="shared" si="33"/>
        <v xml:space="preserve"> </v>
      </c>
      <c r="CX16" s="407" t="str">
        <f t="shared" si="33"/>
        <v xml:space="preserve"> </v>
      </c>
      <c r="CY16" s="407" t="str">
        <f t="shared" si="33"/>
        <v xml:space="preserve"> </v>
      </c>
      <c r="CZ16" s="407" t="str">
        <f t="shared" si="34"/>
        <v xml:space="preserve"> </v>
      </c>
      <c r="DA16" s="407" t="str">
        <f t="shared" si="34"/>
        <v xml:space="preserve"> </v>
      </c>
      <c r="DB16" s="407" t="str">
        <f t="shared" si="34"/>
        <v xml:space="preserve"> </v>
      </c>
      <c r="DC16" s="407" t="str">
        <f t="shared" si="34"/>
        <v xml:space="preserve"> </v>
      </c>
      <c r="DD16" s="407" t="str">
        <f t="shared" si="34"/>
        <v xml:space="preserve"> </v>
      </c>
      <c r="DE16" s="407" t="str">
        <f t="shared" si="34"/>
        <v xml:space="preserve"> </v>
      </c>
      <c r="DF16" s="407" t="str">
        <f t="shared" si="34"/>
        <v xml:space="preserve"> </v>
      </c>
      <c r="DG16" s="407" t="str">
        <f t="shared" si="34"/>
        <v xml:space="preserve"> </v>
      </c>
      <c r="DH16" s="407" t="str">
        <f t="shared" si="34"/>
        <v xml:space="preserve"> </v>
      </c>
      <c r="DI16" s="407" t="str">
        <f t="shared" si="34"/>
        <v xml:space="preserve"> </v>
      </c>
      <c r="DJ16" s="407" t="str">
        <f t="shared" si="34"/>
        <v xml:space="preserve"> </v>
      </c>
      <c r="DK16" s="407" t="str">
        <f t="shared" si="34"/>
        <v xml:space="preserve"> </v>
      </c>
      <c r="DL16" s="407" t="str">
        <f t="shared" si="34"/>
        <v xml:space="preserve"> </v>
      </c>
      <c r="DM16" s="407" t="str">
        <f t="shared" si="34"/>
        <v xml:space="preserve"> </v>
      </c>
      <c r="DN16" s="407" t="str">
        <f t="shared" si="34"/>
        <v xml:space="preserve"> </v>
      </c>
      <c r="DO16" s="407" t="str">
        <f t="shared" si="34"/>
        <v xml:space="preserve"> </v>
      </c>
      <c r="DP16" s="407" t="str">
        <f t="shared" si="34"/>
        <v xml:space="preserve"> </v>
      </c>
      <c r="DQ16" s="407" t="str">
        <f t="shared" si="35"/>
        <v xml:space="preserve"> </v>
      </c>
      <c r="DR16" s="407" t="str">
        <f t="shared" si="35"/>
        <v xml:space="preserve"> </v>
      </c>
      <c r="DS16" s="407" t="str">
        <f t="shared" si="35"/>
        <v xml:space="preserve"> </v>
      </c>
      <c r="DT16" s="407" t="str">
        <f t="shared" si="35"/>
        <v xml:space="preserve"> </v>
      </c>
      <c r="DU16" s="407" t="str">
        <f t="shared" si="35"/>
        <v xml:space="preserve"> </v>
      </c>
      <c r="DV16" s="407" t="str">
        <f t="shared" si="35"/>
        <v xml:space="preserve"> </v>
      </c>
      <c r="DW16" s="407" t="str">
        <f t="shared" si="35"/>
        <v xml:space="preserve"> </v>
      </c>
      <c r="DX16" s="407" t="str">
        <f t="shared" si="35"/>
        <v xml:space="preserve"> </v>
      </c>
      <c r="DY16" s="407" t="str">
        <f t="shared" si="35"/>
        <v xml:space="preserve"> </v>
      </c>
      <c r="DZ16" s="407" t="str">
        <f t="shared" si="35"/>
        <v xml:space="preserve"> </v>
      </c>
      <c r="EA16" s="407" t="str">
        <f t="shared" si="35"/>
        <v xml:space="preserve"> </v>
      </c>
      <c r="EB16" s="407" t="str">
        <f t="shared" si="35"/>
        <v xml:space="preserve"> </v>
      </c>
      <c r="EC16" s="407" t="str">
        <f t="shared" si="35"/>
        <v xml:space="preserve"> </v>
      </c>
      <c r="ED16" s="407" t="str">
        <f t="shared" si="35"/>
        <v xml:space="preserve"> </v>
      </c>
      <c r="EE16" s="407" t="str">
        <f t="shared" si="35"/>
        <v xml:space="preserve"> </v>
      </c>
    </row>
    <row r="17" spans="1:135" s="408" customFormat="1" x14ac:dyDescent="0.25">
      <c r="A17" s="390">
        <v>2</v>
      </c>
      <c r="B17" s="391" t="str">
        <f t="shared" si="25"/>
        <v>1.4</v>
      </c>
      <c r="C17" s="393" t="s">
        <v>904</v>
      </c>
      <c r="D17" s="393"/>
      <c r="E17" s="394"/>
      <c r="F17" s="409"/>
      <c r="G17" s="410"/>
      <c r="H17" s="410"/>
      <c r="I17" s="410"/>
      <c r="J17" s="411">
        <v>45474</v>
      </c>
      <c r="K17" s="412"/>
      <c r="L17" s="413"/>
      <c r="M17" s="411">
        <v>45536</v>
      </c>
      <c r="N17" s="414" t="s">
        <v>867</v>
      </c>
      <c r="O17" s="415">
        <v>0</v>
      </c>
      <c r="P17" s="401" t="s">
        <v>866</v>
      </c>
      <c r="Q17" s="402">
        <f t="shared" si="26"/>
        <v>45474</v>
      </c>
      <c r="R17" s="402">
        <f t="shared" si="27"/>
        <v>45536</v>
      </c>
      <c r="S17" s="403">
        <f t="shared" si="28"/>
        <v>42</v>
      </c>
      <c r="T17" s="403">
        <f t="shared" si="36"/>
        <v>63</v>
      </c>
      <c r="U17" s="404"/>
      <c r="V17" s="404"/>
      <c r="W17" s="405"/>
      <c r="X17" s="406" t="str">
        <f t="shared" si="29"/>
        <v xml:space="preserve"> </v>
      </c>
      <c r="Y17" s="406" t="str">
        <f t="shared" si="29"/>
        <v xml:space="preserve"> </v>
      </c>
      <c r="Z17" s="406" t="str">
        <f t="shared" si="29"/>
        <v xml:space="preserve"> </v>
      </c>
      <c r="AA17" s="406" t="str">
        <f t="shared" si="29"/>
        <v xml:space="preserve"> </v>
      </c>
      <c r="AB17" s="406" t="str">
        <f t="shared" si="29"/>
        <v xml:space="preserve"> </v>
      </c>
      <c r="AC17" s="406" t="str">
        <f t="shared" si="29"/>
        <v xml:space="preserve"> </v>
      </c>
      <c r="AD17" s="406" t="str">
        <f t="shared" si="29"/>
        <v xml:space="preserve"> </v>
      </c>
      <c r="AE17" s="406" t="str">
        <f t="shared" si="29"/>
        <v xml:space="preserve"> </v>
      </c>
      <c r="AF17" s="406" t="str">
        <f t="shared" si="29"/>
        <v xml:space="preserve"> </v>
      </c>
      <c r="AG17" s="406" t="str">
        <f t="shared" si="29"/>
        <v xml:space="preserve"> </v>
      </c>
      <c r="AH17" s="406" t="str">
        <f t="shared" si="29"/>
        <v xml:space="preserve"> </v>
      </c>
      <c r="AI17" s="406" t="str">
        <f t="shared" si="29"/>
        <v xml:space="preserve"> </v>
      </c>
      <c r="AJ17" s="406" t="str">
        <f t="shared" si="29"/>
        <v xml:space="preserve"> </v>
      </c>
      <c r="AK17" s="406" t="str">
        <f t="shared" si="29"/>
        <v xml:space="preserve"> </v>
      </c>
      <c r="AL17" s="406" t="str">
        <f t="shared" si="29"/>
        <v xml:space="preserve"> </v>
      </c>
      <c r="AM17" s="406" t="str">
        <f t="shared" si="29"/>
        <v xml:space="preserve"> </v>
      </c>
      <c r="AN17" s="406" t="str">
        <f t="shared" si="30"/>
        <v xml:space="preserve"> </v>
      </c>
      <c r="AO17" s="406" t="str">
        <f t="shared" si="30"/>
        <v xml:space="preserve"> </v>
      </c>
      <c r="AP17" s="406" t="str">
        <f t="shared" si="30"/>
        <v xml:space="preserve"> </v>
      </c>
      <c r="AQ17" s="406" t="str">
        <f t="shared" si="30"/>
        <v xml:space="preserve"> </v>
      </c>
      <c r="AR17" s="406" t="str">
        <f t="shared" si="30"/>
        <v xml:space="preserve"> </v>
      </c>
      <c r="AS17" s="406" t="str">
        <f t="shared" si="30"/>
        <v xml:space="preserve"> </v>
      </c>
      <c r="AT17" s="406" t="str">
        <f t="shared" si="30"/>
        <v xml:space="preserve"> </v>
      </c>
      <c r="AU17" s="406" t="str">
        <f t="shared" si="30"/>
        <v xml:space="preserve"> </v>
      </c>
      <c r="AV17" s="406" t="str">
        <f t="shared" si="30"/>
        <v xml:space="preserve"> </v>
      </c>
      <c r="AW17" s="406" t="str">
        <f t="shared" si="30"/>
        <v xml:space="preserve"> </v>
      </c>
      <c r="AX17" s="406" t="str">
        <f t="shared" si="30"/>
        <v xml:space="preserve"> </v>
      </c>
      <c r="AY17" s="406" t="str">
        <f t="shared" si="30"/>
        <v xml:space="preserve"> </v>
      </c>
      <c r="AZ17" s="406" t="str">
        <f t="shared" si="30"/>
        <v xml:space="preserve"> </v>
      </c>
      <c r="BA17" s="406" t="str">
        <f t="shared" si="30"/>
        <v xml:space="preserve"> </v>
      </c>
      <c r="BB17" s="406" t="str">
        <f t="shared" si="30"/>
        <v xml:space="preserve"> </v>
      </c>
      <c r="BC17" s="406" t="str">
        <f t="shared" si="30"/>
        <v xml:space="preserve"> </v>
      </c>
      <c r="BD17" s="406" t="str">
        <f t="shared" si="31"/>
        <v xml:space="preserve"> </v>
      </c>
      <c r="BE17" s="406" t="str">
        <f t="shared" si="31"/>
        <v xml:space="preserve"> </v>
      </c>
      <c r="BF17" s="406" t="str">
        <f t="shared" si="31"/>
        <v xml:space="preserve"> </v>
      </c>
      <c r="BG17" s="406" t="str">
        <f t="shared" si="31"/>
        <v xml:space="preserve"> </v>
      </c>
      <c r="BH17" s="406" t="str">
        <f t="shared" si="31"/>
        <v xml:space="preserve"> </v>
      </c>
      <c r="BI17" s="406" t="str">
        <f t="shared" si="31"/>
        <v xml:space="preserve"> </v>
      </c>
      <c r="BJ17" s="406" t="str">
        <f t="shared" si="31"/>
        <v xml:space="preserve"> </v>
      </c>
      <c r="BK17" s="406" t="str">
        <f t="shared" si="31"/>
        <v xml:space="preserve"> </v>
      </c>
      <c r="BL17" s="406" t="str">
        <f t="shared" si="31"/>
        <v xml:space="preserve"> </v>
      </c>
      <c r="BM17" s="406" t="str">
        <f t="shared" si="31"/>
        <v xml:space="preserve"> </v>
      </c>
      <c r="BN17" s="406" t="str">
        <f t="shared" si="31"/>
        <v xml:space="preserve"> </v>
      </c>
      <c r="BO17" s="406" t="str">
        <f t="shared" si="31"/>
        <v xml:space="preserve"> </v>
      </c>
      <c r="BP17" s="406" t="str">
        <f t="shared" si="31"/>
        <v xml:space="preserve"> </v>
      </c>
      <c r="BQ17" s="406" t="str">
        <f t="shared" si="31"/>
        <v xml:space="preserve"> </v>
      </c>
      <c r="BR17" s="406" t="str">
        <f t="shared" si="31"/>
        <v xml:space="preserve"> </v>
      </c>
      <c r="BS17" s="406" t="str">
        <f t="shared" si="31"/>
        <v xml:space="preserve"> </v>
      </c>
      <c r="BT17" s="406" t="str">
        <f t="shared" si="32"/>
        <v xml:space="preserve"> </v>
      </c>
      <c r="BU17" s="406" t="str">
        <f t="shared" si="32"/>
        <v xml:space="preserve"> </v>
      </c>
      <c r="BV17" s="406" t="str">
        <f t="shared" si="32"/>
        <v xml:space="preserve"> </v>
      </c>
      <c r="BW17" s="406" t="str">
        <f t="shared" si="32"/>
        <v xml:space="preserve"> </v>
      </c>
      <c r="BX17" s="406" t="str">
        <f t="shared" si="32"/>
        <v xml:space="preserve"> </v>
      </c>
      <c r="BY17" s="406" t="str">
        <f t="shared" si="32"/>
        <v xml:space="preserve"> </v>
      </c>
      <c r="BZ17" s="406" t="str">
        <f t="shared" si="32"/>
        <v xml:space="preserve"> </v>
      </c>
      <c r="CA17" s="406" t="str">
        <f t="shared" si="32"/>
        <v xml:space="preserve"> </v>
      </c>
      <c r="CB17" s="407" t="str">
        <f t="shared" si="32"/>
        <v xml:space="preserve"> </v>
      </c>
      <c r="CC17" s="407" t="str">
        <f t="shared" si="32"/>
        <v xml:space="preserve"> </v>
      </c>
      <c r="CD17" s="407" t="str">
        <f t="shared" si="32"/>
        <v xml:space="preserve"> </v>
      </c>
      <c r="CE17" s="407" t="str">
        <f t="shared" si="32"/>
        <v xml:space="preserve"> </v>
      </c>
      <c r="CF17" s="407" t="str">
        <f t="shared" si="32"/>
        <v xml:space="preserve"> </v>
      </c>
      <c r="CG17" s="407" t="str">
        <f t="shared" si="32"/>
        <v xml:space="preserve"> </v>
      </c>
      <c r="CH17" s="407" t="str">
        <f t="shared" si="32"/>
        <v xml:space="preserve"> </v>
      </c>
      <c r="CI17" s="407" t="str">
        <f t="shared" si="32"/>
        <v xml:space="preserve"> </v>
      </c>
      <c r="CJ17" s="407" t="str">
        <f t="shared" si="33"/>
        <v xml:space="preserve"> </v>
      </c>
      <c r="CK17" s="407" t="str">
        <f t="shared" si="33"/>
        <v xml:space="preserve"> </v>
      </c>
      <c r="CL17" s="407" t="str">
        <f t="shared" si="33"/>
        <v xml:space="preserve"> </v>
      </c>
      <c r="CM17" s="407" t="str">
        <f t="shared" si="33"/>
        <v xml:space="preserve"> </v>
      </c>
      <c r="CN17" s="407" t="str">
        <f t="shared" si="33"/>
        <v xml:space="preserve"> </v>
      </c>
      <c r="CO17" s="407" t="str">
        <f t="shared" si="33"/>
        <v xml:space="preserve"> </v>
      </c>
      <c r="CP17" s="407" t="str">
        <f t="shared" si="33"/>
        <v xml:space="preserve"> </v>
      </c>
      <c r="CQ17" s="407" t="str">
        <f t="shared" si="33"/>
        <v xml:space="preserve"> </v>
      </c>
      <c r="CR17" s="407" t="str">
        <f t="shared" si="33"/>
        <v xml:space="preserve"> </v>
      </c>
      <c r="CS17" s="407" t="str">
        <f t="shared" si="33"/>
        <v xml:space="preserve"> </v>
      </c>
      <c r="CT17" s="407" t="str">
        <f t="shared" si="33"/>
        <v xml:space="preserve"> </v>
      </c>
      <c r="CU17" s="407" t="str">
        <f t="shared" si="33"/>
        <v xml:space="preserve"> </v>
      </c>
      <c r="CV17" s="407" t="str">
        <f t="shared" si="33"/>
        <v xml:space="preserve"> </v>
      </c>
      <c r="CW17" s="407" t="str">
        <f t="shared" si="33"/>
        <v xml:space="preserve"> </v>
      </c>
      <c r="CX17" s="407" t="str">
        <f t="shared" si="33"/>
        <v xml:space="preserve"> </v>
      </c>
      <c r="CY17" s="407" t="str">
        <f t="shared" si="33"/>
        <v xml:space="preserve"> </v>
      </c>
      <c r="CZ17" s="407" t="str">
        <f t="shared" si="34"/>
        <v xml:space="preserve"> </v>
      </c>
      <c r="DA17" s="407" t="str">
        <f t="shared" si="34"/>
        <v xml:space="preserve"> </v>
      </c>
      <c r="DB17" s="407" t="str">
        <f t="shared" si="34"/>
        <v xml:space="preserve"> </v>
      </c>
      <c r="DC17" s="407" t="str">
        <f t="shared" si="34"/>
        <v xml:space="preserve"> </v>
      </c>
      <c r="DD17" s="407" t="str">
        <f t="shared" si="34"/>
        <v xml:space="preserve"> </v>
      </c>
      <c r="DE17" s="407" t="str">
        <f t="shared" si="34"/>
        <v xml:space="preserve"> </v>
      </c>
      <c r="DF17" s="407" t="str">
        <f t="shared" si="34"/>
        <v xml:space="preserve"> </v>
      </c>
      <c r="DG17" s="407" t="str">
        <f t="shared" si="34"/>
        <v xml:space="preserve"> </v>
      </c>
      <c r="DH17" s="407" t="str">
        <f t="shared" si="34"/>
        <v xml:space="preserve"> </v>
      </c>
      <c r="DI17" s="407" t="str">
        <f t="shared" si="34"/>
        <v xml:space="preserve"> </v>
      </c>
      <c r="DJ17" s="407" t="str">
        <f t="shared" si="34"/>
        <v xml:space="preserve"> </v>
      </c>
      <c r="DK17" s="407" t="str">
        <f t="shared" si="34"/>
        <v xml:space="preserve"> </v>
      </c>
      <c r="DL17" s="407" t="str">
        <f t="shared" si="34"/>
        <v xml:space="preserve"> </v>
      </c>
      <c r="DM17" s="407" t="str">
        <f t="shared" si="34"/>
        <v xml:space="preserve"> </v>
      </c>
      <c r="DN17" s="407" t="str">
        <f t="shared" si="34"/>
        <v xml:space="preserve"> </v>
      </c>
      <c r="DO17" s="407" t="str">
        <f t="shared" si="34"/>
        <v xml:space="preserve"> </v>
      </c>
      <c r="DP17" s="407" t="str">
        <f t="shared" si="34"/>
        <v xml:space="preserve"> </v>
      </c>
      <c r="DQ17" s="407" t="str">
        <f t="shared" si="35"/>
        <v xml:space="preserve"> </v>
      </c>
      <c r="DR17" s="407" t="str">
        <f t="shared" si="35"/>
        <v xml:space="preserve"> </v>
      </c>
      <c r="DS17" s="407" t="str">
        <f t="shared" si="35"/>
        <v xml:space="preserve"> </v>
      </c>
      <c r="DT17" s="407" t="str">
        <f t="shared" si="35"/>
        <v xml:space="preserve"> </v>
      </c>
      <c r="DU17" s="407" t="str">
        <f t="shared" si="35"/>
        <v xml:space="preserve"> </v>
      </c>
      <c r="DV17" s="407" t="str">
        <f t="shared" si="35"/>
        <v xml:space="preserve"> </v>
      </c>
      <c r="DW17" s="407" t="str">
        <f t="shared" si="35"/>
        <v xml:space="preserve"> </v>
      </c>
      <c r="DX17" s="407" t="str">
        <f t="shared" si="35"/>
        <v xml:space="preserve"> </v>
      </c>
      <c r="DY17" s="407" t="str">
        <f t="shared" si="35"/>
        <v xml:space="preserve"> </v>
      </c>
      <c r="DZ17" s="407" t="str">
        <f t="shared" si="35"/>
        <v xml:space="preserve"> </v>
      </c>
      <c r="EA17" s="407" t="str">
        <f t="shared" si="35"/>
        <v xml:space="preserve"> </v>
      </c>
      <c r="EB17" s="407" t="str">
        <f t="shared" si="35"/>
        <v xml:space="preserve"> </v>
      </c>
      <c r="EC17" s="407" t="str">
        <f t="shared" si="35"/>
        <v xml:space="preserve"> </v>
      </c>
      <c r="ED17" s="407" t="str">
        <f t="shared" si="35"/>
        <v xml:space="preserve"> </v>
      </c>
      <c r="EE17" s="407" t="str">
        <f t="shared" si="35"/>
        <v xml:space="preserve"> </v>
      </c>
    </row>
    <row r="18" spans="1:135" s="408" customFormat="1" x14ac:dyDescent="0.25">
      <c r="A18" s="390">
        <v>2</v>
      </c>
      <c r="B18" s="391" t="str">
        <f t="shared" ref="B18" si="37">IF(A18="","-",IF(A18&gt;prevLevel,IF(OR(prevWBS="",prevWBS="-"),"1",prevWBS)&amp;REPT(".1",A18-MAX(prevLevel,1)),IF(ISERROR(FIND(".",prevWBS)),REPT("1.",A18-1)&amp;IFERROR(VALUE(prevWBS)+1,"1"),IF(A18=1,"",IFERROR(LEFT(prevWBS,FIND("^",SUBSTITUTE(prevWBS,".","^",A18-1))),""))&amp;VALUE(TRIM(MID(SUBSTITUTE(prevWBS,".",REPT(" ",LEN(prevWBS))),(A18-1)*LEN(prevWBS)+1,LEN(prevWBS))))+1)))</f>
        <v>1.5</v>
      </c>
      <c r="C18" s="393" t="s">
        <v>905</v>
      </c>
      <c r="D18" s="393"/>
      <c r="E18" s="394"/>
      <c r="F18" s="409"/>
      <c r="G18" s="410"/>
      <c r="H18" s="410"/>
      <c r="I18" s="410"/>
      <c r="J18" s="411">
        <v>45444</v>
      </c>
      <c r="K18" s="412"/>
      <c r="L18" s="413"/>
      <c r="M18" s="411">
        <v>45536</v>
      </c>
      <c r="N18" s="414" t="s">
        <v>868</v>
      </c>
      <c r="O18" s="415">
        <v>0.1</v>
      </c>
      <c r="P18" s="401" t="s">
        <v>866</v>
      </c>
      <c r="Q18" s="402">
        <f t="shared" si="26"/>
        <v>45444</v>
      </c>
      <c r="R18" s="402">
        <f t="shared" ref="R18" si="38">IF(Q18=" - "," - ",MAX(M18,IF(L18&lt;&gt;"",Q18+MAX(0,L18-1),WORKDAY.INTL(IF(NETWORKDAYS.INTL(Q18,Q18,weekend,holidays)=0,WORKDAY.INTL(Q18,1,weekend,holidays),Q18),MAX(0,K18-1),weekend,holidays))))</f>
        <v>45536</v>
      </c>
      <c r="S18" s="403">
        <f t="shared" ref="S18" si="39">IF(OR(NOT(ISNUMBER(Q18)),NOT(ISNUMBER(R18)))," - ",NETWORKDAYS.INTL(Q18,R18,weekend,holidays))</f>
        <v>62</v>
      </c>
      <c r="T18" s="403">
        <f t="shared" ref="T18" si="40">IF(OR(NOT(ISNUMBER(Q18)),NOT(ISNUMBER(R18)))," - ",R18-Q18+1)</f>
        <v>93</v>
      </c>
      <c r="U18" s="404"/>
      <c r="V18" s="404"/>
      <c r="W18" s="405"/>
      <c r="X18" s="406" t="str">
        <f t="shared" ref="X18:AM21" si="41">" "</f>
        <v xml:space="preserve"> </v>
      </c>
      <c r="Y18" s="406" t="str">
        <f t="shared" si="41"/>
        <v xml:space="preserve"> </v>
      </c>
      <c r="Z18" s="406" t="str">
        <f t="shared" si="41"/>
        <v xml:space="preserve"> </v>
      </c>
      <c r="AA18" s="406" t="str">
        <f t="shared" si="41"/>
        <v xml:space="preserve"> </v>
      </c>
      <c r="AB18" s="406" t="str">
        <f t="shared" si="41"/>
        <v xml:space="preserve"> </v>
      </c>
      <c r="AC18" s="406" t="str">
        <f t="shared" si="41"/>
        <v xml:space="preserve"> </v>
      </c>
      <c r="AD18" s="406" t="str">
        <f t="shared" si="41"/>
        <v xml:space="preserve"> </v>
      </c>
      <c r="AE18" s="406" t="str">
        <f t="shared" si="41"/>
        <v xml:space="preserve"> </v>
      </c>
      <c r="AF18" s="406" t="str">
        <f t="shared" si="41"/>
        <v xml:space="preserve"> </v>
      </c>
      <c r="AG18" s="406" t="str">
        <f t="shared" si="41"/>
        <v xml:space="preserve"> </v>
      </c>
      <c r="AH18" s="406" t="str">
        <f t="shared" si="41"/>
        <v xml:space="preserve"> </v>
      </c>
      <c r="AI18" s="406" t="str">
        <f t="shared" si="41"/>
        <v xml:space="preserve"> </v>
      </c>
      <c r="AJ18" s="406" t="str">
        <f t="shared" si="41"/>
        <v xml:space="preserve"> </v>
      </c>
      <c r="AK18" s="406" t="str">
        <f t="shared" si="41"/>
        <v xml:space="preserve"> </v>
      </c>
      <c r="AL18" s="406" t="str">
        <f t="shared" si="41"/>
        <v xml:space="preserve"> </v>
      </c>
      <c r="AM18" s="406" t="str">
        <f t="shared" si="41"/>
        <v xml:space="preserve"> </v>
      </c>
      <c r="AN18" s="406" t="str">
        <f t="shared" si="30"/>
        <v xml:space="preserve"> </v>
      </c>
      <c r="AO18" s="406" t="str">
        <f t="shared" si="30"/>
        <v xml:space="preserve"> </v>
      </c>
      <c r="AP18" s="406" t="str">
        <f t="shared" si="30"/>
        <v xml:space="preserve"> </v>
      </c>
      <c r="AQ18" s="406" t="str">
        <f t="shared" ref="AQ18:BS21" si="42">" "</f>
        <v xml:space="preserve"> </v>
      </c>
      <c r="AR18" s="406" t="str">
        <f t="shared" si="42"/>
        <v xml:space="preserve"> </v>
      </c>
      <c r="AS18" s="406" t="str">
        <f t="shared" si="42"/>
        <v xml:space="preserve"> </v>
      </c>
      <c r="AT18" s="406" t="str">
        <f t="shared" si="42"/>
        <v xml:space="preserve"> </v>
      </c>
      <c r="AU18" s="406" t="str">
        <f t="shared" si="42"/>
        <v xml:space="preserve"> </v>
      </c>
      <c r="AV18" s="406" t="str">
        <f t="shared" si="42"/>
        <v xml:space="preserve"> </v>
      </c>
      <c r="AW18" s="406" t="str">
        <f t="shared" si="42"/>
        <v xml:space="preserve"> </v>
      </c>
      <c r="AX18" s="406" t="str">
        <f t="shared" si="42"/>
        <v xml:space="preserve"> </v>
      </c>
      <c r="AY18" s="406" t="str">
        <f t="shared" si="42"/>
        <v xml:space="preserve"> </v>
      </c>
      <c r="AZ18" s="406" t="str">
        <f t="shared" si="42"/>
        <v xml:space="preserve"> </v>
      </c>
      <c r="BA18" s="406" t="str">
        <f t="shared" si="42"/>
        <v xml:space="preserve"> </v>
      </c>
      <c r="BB18" s="406" t="str">
        <f t="shared" si="42"/>
        <v xml:space="preserve"> </v>
      </c>
      <c r="BC18" s="406" t="str">
        <f t="shared" si="42"/>
        <v xml:space="preserve"> </v>
      </c>
      <c r="BD18" s="406" t="str">
        <f t="shared" si="42"/>
        <v xml:space="preserve"> </v>
      </c>
      <c r="BE18" s="406" t="str">
        <f t="shared" si="42"/>
        <v xml:space="preserve"> </v>
      </c>
      <c r="BF18" s="406" t="str">
        <f t="shared" si="42"/>
        <v xml:space="preserve"> </v>
      </c>
      <c r="BG18" s="406" t="str">
        <f t="shared" si="42"/>
        <v xml:space="preserve"> </v>
      </c>
      <c r="BH18" s="406" t="str">
        <f t="shared" si="42"/>
        <v xml:space="preserve"> </v>
      </c>
      <c r="BI18" s="406" t="str">
        <f t="shared" si="42"/>
        <v xml:space="preserve"> </v>
      </c>
      <c r="BJ18" s="406" t="str">
        <f t="shared" si="42"/>
        <v xml:space="preserve"> </v>
      </c>
      <c r="BK18" s="406" t="str">
        <f t="shared" si="42"/>
        <v xml:space="preserve"> </v>
      </c>
      <c r="BL18" s="406" t="str">
        <f t="shared" si="42"/>
        <v xml:space="preserve"> </v>
      </c>
      <c r="BM18" s="406" t="str">
        <f t="shared" si="42"/>
        <v xml:space="preserve"> </v>
      </c>
      <c r="BN18" s="406" t="str">
        <f t="shared" si="42"/>
        <v xml:space="preserve"> </v>
      </c>
      <c r="BO18" s="406" t="str">
        <f t="shared" si="42"/>
        <v xml:space="preserve"> </v>
      </c>
      <c r="BP18" s="406" t="str">
        <f t="shared" si="42"/>
        <v xml:space="preserve"> </v>
      </c>
      <c r="BQ18" s="406" t="str">
        <f t="shared" si="42"/>
        <v xml:space="preserve"> </v>
      </c>
      <c r="BR18" s="406" t="str">
        <f t="shared" si="42"/>
        <v xml:space="preserve"> </v>
      </c>
      <c r="BS18" s="406" t="str">
        <f t="shared" si="42"/>
        <v xml:space="preserve"> </v>
      </c>
      <c r="BT18" s="406" t="str">
        <f t="shared" si="32"/>
        <v xml:space="preserve"> </v>
      </c>
      <c r="BU18" s="406" t="str">
        <f t="shared" ref="BU18:DP21" si="43">" "</f>
        <v xml:space="preserve"> </v>
      </c>
      <c r="BV18" s="406" t="str">
        <f t="shared" si="43"/>
        <v xml:space="preserve"> </v>
      </c>
      <c r="BW18" s="406" t="str">
        <f t="shared" si="43"/>
        <v xml:space="preserve"> </v>
      </c>
      <c r="BX18" s="406" t="str">
        <f t="shared" si="43"/>
        <v xml:space="preserve"> </v>
      </c>
      <c r="BY18" s="406" t="str">
        <f t="shared" si="43"/>
        <v xml:space="preserve"> </v>
      </c>
      <c r="BZ18" s="406" t="str">
        <f t="shared" si="43"/>
        <v xml:space="preserve"> </v>
      </c>
      <c r="CA18" s="406" t="str">
        <f t="shared" si="43"/>
        <v xml:space="preserve"> </v>
      </c>
      <c r="CB18" s="407" t="str">
        <f t="shared" si="43"/>
        <v xml:space="preserve"> </v>
      </c>
      <c r="CC18" s="407" t="str">
        <f t="shared" si="43"/>
        <v xml:space="preserve"> </v>
      </c>
      <c r="CD18" s="407" t="str">
        <f t="shared" si="43"/>
        <v xml:space="preserve"> </v>
      </c>
      <c r="CE18" s="407" t="str">
        <f t="shared" si="43"/>
        <v xml:space="preserve"> </v>
      </c>
      <c r="CF18" s="407" t="str">
        <f t="shared" si="43"/>
        <v xml:space="preserve"> </v>
      </c>
      <c r="CG18" s="407" t="str">
        <f t="shared" si="43"/>
        <v xml:space="preserve"> </v>
      </c>
      <c r="CH18" s="407" t="str">
        <f t="shared" si="43"/>
        <v xml:space="preserve"> </v>
      </c>
      <c r="CI18" s="407" t="str">
        <f t="shared" si="43"/>
        <v xml:space="preserve"> </v>
      </c>
      <c r="CJ18" s="407" t="str">
        <f t="shared" si="43"/>
        <v xml:space="preserve"> </v>
      </c>
      <c r="CK18" s="407" t="str">
        <f t="shared" si="43"/>
        <v xml:space="preserve"> </v>
      </c>
      <c r="CL18" s="407" t="str">
        <f t="shared" si="43"/>
        <v xml:space="preserve"> </v>
      </c>
      <c r="CM18" s="407" t="str">
        <f t="shared" si="43"/>
        <v xml:space="preserve"> </v>
      </c>
      <c r="CN18" s="407" t="str">
        <f t="shared" si="43"/>
        <v xml:space="preserve"> </v>
      </c>
      <c r="CO18" s="407" t="str">
        <f t="shared" si="43"/>
        <v xml:space="preserve"> </v>
      </c>
      <c r="CP18" s="407" t="str">
        <f t="shared" si="43"/>
        <v xml:space="preserve"> </v>
      </c>
      <c r="CQ18" s="407" t="str">
        <f t="shared" si="43"/>
        <v xml:space="preserve"> </v>
      </c>
      <c r="CR18" s="407" t="str">
        <f t="shared" si="43"/>
        <v xml:space="preserve"> </v>
      </c>
      <c r="CS18" s="407" t="str">
        <f t="shared" si="43"/>
        <v xml:space="preserve"> </v>
      </c>
      <c r="CT18" s="407" t="str">
        <f t="shared" si="43"/>
        <v xml:space="preserve"> </v>
      </c>
      <c r="CU18" s="407" t="str">
        <f t="shared" si="43"/>
        <v xml:space="preserve"> </v>
      </c>
      <c r="CV18" s="407" t="str">
        <f t="shared" si="43"/>
        <v xml:space="preserve"> </v>
      </c>
      <c r="CW18" s="407" t="str">
        <f t="shared" si="43"/>
        <v xml:space="preserve"> </v>
      </c>
      <c r="CX18" s="407" t="str">
        <f t="shared" si="43"/>
        <v xml:space="preserve"> </v>
      </c>
      <c r="CY18" s="407" t="str">
        <f t="shared" si="43"/>
        <v xml:space="preserve"> </v>
      </c>
      <c r="CZ18" s="407" t="str">
        <f t="shared" si="43"/>
        <v xml:space="preserve"> </v>
      </c>
      <c r="DA18" s="407" t="str">
        <f t="shared" si="43"/>
        <v xml:space="preserve"> </v>
      </c>
      <c r="DB18" s="407" t="str">
        <f t="shared" si="43"/>
        <v xml:space="preserve"> </v>
      </c>
      <c r="DC18" s="407" t="str">
        <f t="shared" si="43"/>
        <v xml:space="preserve"> </v>
      </c>
      <c r="DD18" s="407" t="str">
        <f t="shared" si="43"/>
        <v xml:space="preserve"> </v>
      </c>
      <c r="DE18" s="407" t="str">
        <f t="shared" si="43"/>
        <v xml:space="preserve"> </v>
      </c>
      <c r="DF18" s="407" t="str">
        <f t="shared" si="43"/>
        <v xml:space="preserve"> </v>
      </c>
      <c r="DG18" s="407" t="str">
        <f t="shared" si="43"/>
        <v xml:space="preserve"> </v>
      </c>
      <c r="DH18" s="407" t="str">
        <f t="shared" si="43"/>
        <v xml:space="preserve"> </v>
      </c>
      <c r="DI18" s="407" t="str">
        <f t="shared" si="43"/>
        <v xml:space="preserve"> </v>
      </c>
      <c r="DJ18" s="407" t="str">
        <f t="shared" si="43"/>
        <v xml:space="preserve"> </v>
      </c>
      <c r="DK18" s="407" t="str">
        <f t="shared" si="43"/>
        <v xml:space="preserve"> </v>
      </c>
      <c r="DL18" s="407" t="str">
        <f t="shared" si="43"/>
        <v xml:space="preserve"> </v>
      </c>
      <c r="DM18" s="407" t="str">
        <f t="shared" si="43"/>
        <v xml:space="preserve"> </v>
      </c>
      <c r="DN18" s="407" t="str">
        <f t="shared" si="43"/>
        <v xml:space="preserve"> </v>
      </c>
      <c r="DO18" s="407" t="str">
        <f t="shared" si="43"/>
        <v xml:space="preserve"> </v>
      </c>
      <c r="DP18" s="407" t="str">
        <f t="shared" si="43"/>
        <v xml:space="preserve"> </v>
      </c>
      <c r="DQ18" s="407" t="str">
        <f t="shared" si="35"/>
        <v xml:space="preserve"> </v>
      </c>
      <c r="DR18" s="407" t="str">
        <f t="shared" si="35"/>
        <v xml:space="preserve"> </v>
      </c>
      <c r="DS18" s="407" t="str">
        <f t="shared" si="35"/>
        <v xml:space="preserve"> </v>
      </c>
      <c r="DT18" s="407" t="str">
        <f t="shared" si="35"/>
        <v xml:space="preserve"> </v>
      </c>
      <c r="DU18" s="407" t="str">
        <f t="shared" si="35"/>
        <v xml:space="preserve"> </v>
      </c>
      <c r="DV18" s="407" t="str">
        <f t="shared" si="35"/>
        <v xml:space="preserve"> </v>
      </c>
      <c r="DW18" s="407" t="str">
        <f t="shared" si="35"/>
        <v xml:space="preserve"> </v>
      </c>
      <c r="DX18" s="407" t="str">
        <f t="shared" si="35"/>
        <v xml:space="preserve"> </v>
      </c>
      <c r="DY18" s="407" t="str">
        <f t="shared" si="35"/>
        <v xml:space="preserve"> </v>
      </c>
      <c r="DZ18" s="407" t="str">
        <f t="shared" si="35"/>
        <v xml:space="preserve"> </v>
      </c>
      <c r="EA18" s="407" t="str">
        <f t="shared" si="35"/>
        <v xml:space="preserve"> </v>
      </c>
      <c r="EB18" s="407" t="str">
        <f t="shared" si="35"/>
        <v xml:space="preserve"> </v>
      </c>
      <c r="EC18" s="407" t="str">
        <f t="shared" si="35"/>
        <v xml:space="preserve"> </v>
      </c>
      <c r="ED18" s="407" t="str">
        <f t="shared" si="35"/>
        <v xml:space="preserve"> </v>
      </c>
      <c r="EE18" s="407" t="str">
        <f t="shared" si="35"/>
        <v xml:space="preserve"> </v>
      </c>
    </row>
    <row r="19" spans="1:135" s="408" customFormat="1" x14ac:dyDescent="0.25">
      <c r="A19" s="390">
        <v>3</v>
      </c>
      <c r="B19" s="391" t="str">
        <f t="shared" ref="B19" si="44">IF(A19="","-",IF(A19&gt;prevLevel,IF(OR(prevWBS="",prevWBS="-"),"1",prevWBS)&amp;REPT(".1",A19-MAX(prevLevel,1)),IF(ISERROR(FIND(".",prevWBS)),REPT("1.",A19-1)&amp;IFERROR(VALUE(prevWBS)+1,"1"),IF(A19=1,"",IFERROR(LEFT(prevWBS,FIND("^",SUBSTITUTE(prevWBS,".","^",A19-1))),""))&amp;VALUE(TRIM(MID(SUBSTITUTE(prevWBS,".",REPT(" ",LEN(prevWBS))),(A19-1)*LEN(prevWBS)+1,LEN(prevWBS))))+1)))</f>
        <v>1.5.1</v>
      </c>
      <c r="C19" s="393" t="s">
        <v>907</v>
      </c>
      <c r="D19" s="393"/>
      <c r="E19" s="394"/>
      <c r="F19" s="409"/>
      <c r="G19" s="410"/>
      <c r="H19" s="410"/>
      <c r="I19" s="410"/>
      <c r="J19" s="411">
        <v>45444</v>
      </c>
      <c r="K19" s="412"/>
      <c r="L19" s="413"/>
      <c r="M19" s="411">
        <v>45474</v>
      </c>
      <c r="N19" s="414" t="s">
        <v>869</v>
      </c>
      <c r="O19" s="415">
        <v>0.1</v>
      </c>
      <c r="P19" s="401">
        <v>3</v>
      </c>
      <c r="Q19" s="402">
        <f t="shared" si="26"/>
        <v>45444</v>
      </c>
      <c r="R19" s="402">
        <f t="shared" ref="R19" si="45">IF(Q19=" - "," - ",MAX(M19,IF(L19&lt;&gt;"",Q19+MAX(0,L19-1),WORKDAY.INTL(IF(NETWORKDAYS.INTL(Q19,Q19,weekend,holidays)=0,WORKDAY.INTL(Q19,1,weekend,holidays),Q19),MAX(0,K19-1),weekend,holidays))))</f>
        <v>45474</v>
      </c>
      <c r="S19" s="403">
        <f t="shared" ref="S19" si="46">IF(OR(NOT(ISNUMBER(Q19)),NOT(ISNUMBER(R19)))," - ",NETWORKDAYS.INTL(Q19,R19,weekend,holidays))</f>
        <v>21</v>
      </c>
      <c r="T19" s="403">
        <f t="shared" ref="T19" si="47">IF(OR(NOT(ISNUMBER(Q19)),NOT(ISNUMBER(R19)))," - ",R19-Q19+1)</f>
        <v>31</v>
      </c>
      <c r="U19" s="404"/>
      <c r="V19" s="404"/>
      <c r="W19" s="405"/>
      <c r="X19" s="406" t="str">
        <f t="shared" si="41"/>
        <v xml:space="preserve"> </v>
      </c>
      <c r="Y19" s="406" t="str">
        <f t="shared" si="41"/>
        <v xml:space="preserve"> </v>
      </c>
      <c r="Z19" s="406" t="str">
        <f t="shared" si="41"/>
        <v xml:space="preserve"> </v>
      </c>
      <c r="AA19" s="406" t="str">
        <f t="shared" si="41"/>
        <v xml:space="preserve"> </v>
      </c>
      <c r="AB19" s="406" t="str">
        <f t="shared" si="41"/>
        <v xml:space="preserve"> </v>
      </c>
      <c r="AC19" s="406" t="str">
        <f t="shared" si="41"/>
        <v xml:space="preserve"> </v>
      </c>
      <c r="AD19" s="406" t="str">
        <f t="shared" si="41"/>
        <v xml:space="preserve"> </v>
      </c>
      <c r="AE19" s="406" t="str">
        <f t="shared" si="41"/>
        <v xml:space="preserve"> </v>
      </c>
      <c r="AF19" s="406" t="str">
        <f t="shared" si="41"/>
        <v xml:space="preserve"> </v>
      </c>
      <c r="AG19" s="406" t="str">
        <f t="shared" si="41"/>
        <v xml:space="preserve"> </v>
      </c>
      <c r="AH19" s="406" t="str">
        <f t="shared" si="41"/>
        <v xml:space="preserve"> </v>
      </c>
      <c r="AI19" s="406" t="str">
        <f t="shared" si="41"/>
        <v xml:space="preserve"> </v>
      </c>
      <c r="AJ19" s="406" t="str">
        <f t="shared" si="41"/>
        <v xml:space="preserve"> </v>
      </c>
      <c r="AK19" s="406" t="str">
        <f t="shared" si="41"/>
        <v xml:space="preserve"> </v>
      </c>
      <c r="AL19" s="406" t="str">
        <f t="shared" si="41"/>
        <v xml:space="preserve"> </v>
      </c>
      <c r="AM19" s="406" t="str">
        <f t="shared" si="41"/>
        <v xml:space="preserve"> </v>
      </c>
      <c r="AN19" s="406" t="str">
        <f t="shared" ref="AN19:AP21" si="48">" "</f>
        <v xml:space="preserve"> </v>
      </c>
      <c r="AO19" s="406" t="str">
        <f t="shared" si="48"/>
        <v xml:space="preserve"> </v>
      </c>
      <c r="AP19" s="406" t="str">
        <f t="shared" si="48"/>
        <v xml:space="preserve"> </v>
      </c>
      <c r="AQ19" s="406" t="str">
        <f t="shared" si="42"/>
        <v xml:space="preserve"> </v>
      </c>
      <c r="AR19" s="406" t="str">
        <f t="shared" si="42"/>
        <v xml:space="preserve"> </v>
      </c>
      <c r="AS19" s="406" t="str">
        <f t="shared" si="42"/>
        <v xml:space="preserve"> </v>
      </c>
      <c r="AT19" s="406" t="str">
        <f t="shared" si="42"/>
        <v xml:space="preserve"> </v>
      </c>
      <c r="AU19" s="406" t="str">
        <f t="shared" si="42"/>
        <v xml:space="preserve"> </v>
      </c>
      <c r="AV19" s="406" t="str">
        <f t="shared" si="42"/>
        <v xml:space="preserve"> </v>
      </c>
      <c r="AW19" s="406" t="str">
        <f t="shared" si="42"/>
        <v xml:space="preserve"> </v>
      </c>
      <c r="AX19" s="406" t="str">
        <f t="shared" si="42"/>
        <v xml:space="preserve"> </v>
      </c>
      <c r="AY19" s="406" t="str">
        <f t="shared" si="42"/>
        <v xml:space="preserve"> </v>
      </c>
      <c r="AZ19" s="406" t="str">
        <f t="shared" si="42"/>
        <v xml:space="preserve"> </v>
      </c>
      <c r="BA19" s="406" t="str">
        <f t="shared" si="42"/>
        <v xml:space="preserve"> </v>
      </c>
      <c r="BB19" s="406" t="str">
        <f t="shared" si="42"/>
        <v xml:space="preserve"> </v>
      </c>
      <c r="BC19" s="406" t="str">
        <f t="shared" si="42"/>
        <v xml:space="preserve"> </v>
      </c>
      <c r="BD19" s="406" t="str">
        <f t="shared" si="42"/>
        <v xml:space="preserve"> </v>
      </c>
      <c r="BE19" s="406" t="str">
        <f t="shared" si="42"/>
        <v xml:space="preserve"> </v>
      </c>
      <c r="BF19" s="406" t="str">
        <f t="shared" si="42"/>
        <v xml:space="preserve"> </v>
      </c>
      <c r="BG19" s="406" t="str">
        <f t="shared" si="42"/>
        <v xml:space="preserve"> </v>
      </c>
      <c r="BH19" s="406" t="str">
        <f t="shared" si="42"/>
        <v xml:space="preserve"> </v>
      </c>
      <c r="BI19" s="406" t="str">
        <f t="shared" si="42"/>
        <v xml:space="preserve"> </v>
      </c>
      <c r="BJ19" s="406" t="str">
        <f t="shared" si="42"/>
        <v xml:space="preserve"> </v>
      </c>
      <c r="BK19" s="406" t="str">
        <f t="shared" si="42"/>
        <v xml:space="preserve"> </v>
      </c>
      <c r="BL19" s="406" t="str">
        <f t="shared" si="42"/>
        <v xml:space="preserve"> </v>
      </c>
      <c r="BM19" s="406" t="str">
        <f t="shared" si="42"/>
        <v xml:space="preserve"> </v>
      </c>
      <c r="BN19" s="406" t="str">
        <f t="shared" si="42"/>
        <v xml:space="preserve"> </v>
      </c>
      <c r="BO19" s="406" t="str">
        <f t="shared" si="42"/>
        <v xml:space="preserve"> </v>
      </c>
      <c r="BP19" s="406" t="str">
        <f t="shared" si="42"/>
        <v xml:space="preserve"> </v>
      </c>
      <c r="BQ19" s="406" t="str">
        <f t="shared" si="42"/>
        <v xml:space="preserve"> </v>
      </c>
      <c r="BR19" s="406" t="str">
        <f t="shared" si="42"/>
        <v xml:space="preserve"> </v>
      </c>
      <c r="BS19" s="406" t="str">
        <f t="shared" si="42"/>
        <v xml:space="preserve"> </v>
      </c>
      <c r="BT19" s="406" t="str">
        <f t="shared" ref="BT19:BT21" si="49">" "</f>
        <v xml:space="preserve"> </v>
      </c>
      <c r="BU19" s="406" t="str">
        <f t="shared" si="43"/>
        <v xml:space="preserve"> </v>
      </c>
      <c r="BV19" s="406" t="str">
        <f t="shared" si="43"/>
        <v xml:space="preserve"> </v>
      </c>
      <c r="BW19" s="406" t="str">
        <f t="shared" si="43"/>
        <v xml:space="preserve"> </v>
      </c>
      <c r="BX19" s="406" t="str">
        <f t="shared" si="43"/>
        <v xml:space="preserve"> </v>
      </c>
      <c r="BY19" s="406" t="str">
        <f t="shared" si="43"/>
        <v xml:space="preserve"> </v>
      </c>
      <c r="BZ19" s="406" t="str">
        <f t="shared" si="43"/>
        <v xml:space="preserve"> </v>
      </c>
      <c r="CA19" s="406" t="str">
        <f t="shared" si="43"/>
        <v xml:space="preserve"> </v>
      </c>
      <c r="CB19" s="407" t="str">
        <f t="shared" si="43"/>
        <v xml:space="preserve"> </v>
      </c>
      <c r="CC19" s="407" t="str">
        <f t="shared" si="43"/>
        <v xml:space="preserve"> </v>
      </c>
      <c r="CD19" s="407" t="str">
        <f t="shared" si="43"/>
        <v xml:space="preserve"> </v>
      </c>
      <c r="CE19" s="407" t="str">
        <f t="shared" si="43"/>
        <v xml:space="preserve"> </v>
      </c>
      <c r="CF19" s="407" t="str">
        <f t="shared" si="43"/>
        <v xml:space="preserve"> </v>
      </c>
      <c r="CG19" s="407" t="str">
        <f t="shared" si="43"/>
        <v xml:space="preserve"> </v>
      </c>
      <c r="CH19" s="407" t="str">
        <f t="shared" si="43"/>
        <v xml:space="preserve"> </v>
      </c>
      <c r="CI19" s="407" t="str">
        <f t="shared" si="43"/>
        <v xml:space="preserve"> </v>
      </c>
      <c r="CJ19" s="407" t="str">
        <f t="shared" si="43"/>
        <v xml:space="preserve"> </v>
      </c>
      <c r="CK19" s="407" t="str">
        <f t="shared" si="43"/>
        <v xml:space="preserve"> </v>
      </c>
      <c r="CL19" s="407" t="str">
        <f t="shared" si="43"/>
        <v xml:space="preserve"> </v>
      </c>
      <c r="CM19" s="407" t="str">
        <f t="shared" si="43"/>
        <v xml:space="preserve"> </v>
      </c>
      <c r="CN19" s="407" t="str">
        <f t="shared" si="43"/>
        <v xml:space="preserve"> </v>
      </c>
      <c r="CO19" s="407" t="str">
        <f t="shared" si="43"/>
        <v xml:space="preserve"> </v>
      </c>
      <c r="CP19" s="407" t="str">
        <f t="shared" si="43"/>
        <v xml:space="preserve"> </v>
      </c>
      <c r="CQ19" s="407" t="str">
        <f t="shared" si="43"/>
        <v xml:space="preserve"> </v>
      </c>
      <c r="CR19" s="407" t="str">
        <f t="shared" si="43"/>
        <v xml:space="preserve"> </v>
      </c>
      <c r="CS19" s="407" t="str">
        <f t="shared" si="43"/>
        <v xml:space="preserve"> </v>
      </c>
      <c r="CT19" s="407" t="str">
        <f t="shared" si="43"/>
        <v xml:space="preserve"> </v>
      </c>
      <c r="CU19" s="407" t="str">
        <f t="shared" si="43"/>
        <v xml:space="preserve"> </v>
      </c>
      <c r="CV19" s="407" t="str">
        <f t="shared" si="43"/>
        <v xml:space="preserve"> </v>
      </c>
      <c r="CW19" s="407" t="str">
        <f t="shared" si="43"/>
        <v xml:space="preserve"> </v>
      </c>
      <c r="CX19" s="407" t="str">
        <f t="shared" si="43"/>
        <v xml:space="preserve"> </v>
      </c>
      <c r="CY19" s="407" t="str">
        <f t="shared" si="43"/>
        <v xml:space="preserve"> </v>
      </c>
      <c r="CZ19" s="407" t="str">
        <f t="shared" si="43"/>
        <v xml:space="preserve"> </v>
      </c>
      <c r="DA19" s="407" t="str">
        <f t="shared" si="43"/>
        <v xml:space="preserve"> </v>
      </c>
      <c r="DB19" s="407" t="str">
        <f t="shared" si="43"/>
        <v xml:space="preserve"> </v>
      </c>
      <c r="DC19" s="407" t="str">
        <f t="shared" si="43"/>
        <v xml:space="preserve"> </v>
      </c>
      <c r="DD19" s="407" t="str">
        <f t="shared" si="43"/>
        <v xml:space="preserve"> </v>
      </c>
      <c r="DE19" s="407" t="str">
        <f t="shared" si="43"/>
        <v xml:space="preserve"> </v>
      </c>
      <c r="DF19" s="407" t="str">
        <f t="shared" si="43"/>
        <v xml:space="preserve"> </v>
      </c>
      <c r="DG19" s="407" t="str">
        <f t="shared" si="43"/>
        <v xml:space="preserve"> </v>
      </c>
      <c r="DH19" s="407" t="str">
        <f t="shared" si="43"/>
        <v xml:space="preserve"> </v>
      </c>
      <c r="DI19" s="407" t="str">
        <f t="shared" si="43"/>
        <v xml:space="preserve"> </v>
      </c>
      <c r="DJ19" s="407" t="str">
        <f t="shared" si="43"/>
        <v xml:space="preserve"> </v>
      </c>
      <c r="DK19" s="407" t="str">
        <f t="shared" si="43"/>
        <v xml:space="preserve"> </v>
      </c>
      <c r="DL19" s="407" t="str">
        <f t="shared" si="43"/>
        <v xml:space="preserve"> </v>
      </c>
      <c r="DM19" s="407" t="str">
        <f t="shared" si="43"/>
        <v xml:space="preserve"> </v>
      </c>
      <c r="DN19" s="407" t="str">
        <f t="shared" si="43"/>
        <v xml:space="preserve"> </v>
      </c>
      <c r="DO19" s="407" t="str">
        <f t="shared" si="43"/>
        <v xml:space="preserve"> </v>
      </c>
      <c r="DP19" s="407" t="str">
        <f t="shared" si="43"/>
        <v xml:space="preserve"> </v>
      </c>
      <c r="DQ19" s="407" t="str">
        <f t="shared" ref="DQ19:EE21" si="50">" "</f>
        <v xml:space="preserve"> </v>
      </c>
      <c r="DR19" s="407" t="str">
        <f t="shared" si="50"/>
        <v xml:space="preserve"> </v>
      </c>
      <c r="DS19" s="407" t="str">
        <f t="shared" si="50"/>
        <v xml:space="preserve"> </v>
      </c>
      <c r="DT19" s="407" t="str">
        <f t="shared" si="50"/>
        <v xml:space="preserve"> </v>
      </c>
      <c r="DU19" s="407" t="str">
        <f t="shared" si="50"/>
        <v xml:space="preserve"> </v>
      </c>
      <c r="DV19" s="407" t="str">
        <f t="shared" si="50"/>
        <v xml:space="preserve"> </v>
      </c>
      <c r="DW19" s="407" t="str">
        <f t="shared" si="50"/>
        <v xml:space="preserve"> </v>
      </c>
      <c r="DX19" s="407" t="str">
        <f t="shared" si="50"/>
        <v xml:space="preserve"> </v>
      </c>
      <c r="DY19" s="407" t="str">
        <f t="shared" si="50"/>
        <v xml:space="preserve"> </v>
      </c>
      <c r="DZ19" s="407" t="str">
        <f t="shared" si="50"/>
        <v xml:space="preserve"> </v>
      </c>
      <c r="EA19" s="407" t="str">
        <f t="shared" si="50"/>
        <v xml:space="preserve"> </v>
      </c>
      <c r="EB19" s="407" t="str">
        <f t="shared" si="50"/>
        <v xml:space="preserve"> </v>
      </c>
      <c r="EC19" s="407" t="str">
        <f t="shared" si="50"/>
        <v xml:space="preserve"> </v>
      </c>
      <c r="ED19" s="407" t="str">
        <f t="shared" si="50"/>
        <v xml:space="preserve"> </v>
      </c>
      <c r="EE19" s="407" t="str">
        <f t="shared" si="50"/>
        <v xml:space="preserve"> </v>
      </c>
    </row>
    <row r="20" spans="1:135" s="408" customFormat="1" x14ac:dyDescent="0.25">
      <c r="A20" s="390">
        <v>3</v>
      </c>
      <c r="B20" s="391" t="str">
        <f t="shared" ref="B20" si="51">IF(A20="","-",IF(A20&gt;prevLevel,IF(OR(prevWBS="",prevWBS="-"),"1",prevWBS)&amp;REPT(".1",A20-MAX(prevLevel,1)),IF(ISERROR(FIND(".",prevWBS)),REPT("1.",A20-1)&amp;IFERROR(VALUE(prevWBS)+1,"1"),IF(A20=1,"",IFERROR(LEFT(prevWBS,FIND("^",SUBSTITUTE(prevWBS,".","^",A20-1))),""))&amp;VALUE(TRIM(MID(SUBSTITUTE(prevWBS,".",REPT(" ",LEN(prevWBS))),(A20-1)*LEN(prevWBS)+1,LEN(prevWBS))))+1)))</f>
        <v>1.5.2</v>
      </c>
      <c r="C20" s="393" t="s">
        <v>908</v>
      </c>
      <c r="D20" s="393"/>
      <c r="E20" s="394"/>
      <c r="F20" s="409"/>
      <c r="G20" s="410"/>
      <c r="H20" s="410"/>
      <c r="I20" s="410"/>
      <c r="J20" s="411">
        <v>45536</v>
      </c>
      <c r="K20" s="412"/>
      <c r="L20" s="413"/>
      <c r="M20" s="411">
        <v>45901</v>
      </c>
      <c r="N20" s="414" t="s">
        <v>870</v>
      </c>
      <c r="O20" s="415">
        <v>0.25</v>
      </c>
      <c r="P20" s="401">
        <v>3</v>
      </c>
      <c r="Q20" s="402">
        <f t="shared" si="26"/>
        <v>45536</v>
      </c>
      <c r="R20" s="402">
        <f t="shared" ref="R20" si="52">IF(Q20=" - "," - ",MAX(M20,IF(L20&lt;&gt;"",Q20+MAX(0,L20-1),WORKDAY.INTL(IF(NETWORKDAYS.INTL(Q20,Q20,weekend,holidays)=0,WORKDAY.INTL(Q20,1,weekend,holidays),Q20),MAX(0,K20-1),weekend,holidays))))</f>
        <v>45901</v>
      </c>
      <c r="S20" s="403">
        <f t="shared" ref="S20" si="53">IF(OR(NOT(ISNUMBER(Q20)),NOT(ISNUMBER(R20)))," - ",NETWORKDAYS.INTL(Q20,R20,weekend,holidays))</f>
        <v>244</v>
      </c>
      <c r="T20" s="403">
        <f t="shared" ref="T20" si="54">IF(OR(NOT(ISNUMBER(Q20)),NOT(ISNUMBER(R20)))," - ",R20-Q20+1)</f>
        <v>366</v>
      </c>
      <c r="U20" s="404"/>
      <c r="V20" s="404"/>
      <c r="W20" s="405"/>
      <c r="X20" s="406" t="str">
        <f t="shared" si="41"/>
        <v xml:space="preserve"> </v>
      </c>
      <c r="Y20" s="406" t="str">
        <f t="shared" si="41"/>
        <v xml:space="preserve"> </v>
      </c>
      <c r="Z20" s="406" t="str">
        <f t="shared" si="41"/>
        <v xml:space="preserve"> </v>
      </c>
      <c r="AA20" s="406" t="str">
        <f t="shared" si="41"/>
        <v xml:space="preserve"> </v>
      </c>
      <c r="AB20" s="406" t="str">
        <f t="shared" si="41"/>
        <v xml:space="preserve"> </v>
      </c>
      <c r="AC20" s="406" t="str">
        <f t="shared" si="41"/>
        <v xml:space="preserve"> </v>
      </c>
      <c r="AD20" s="406" t="str">
        <f t="shared" si="41"/>
        <v xml:space="preserve"> </v>
      </c>
      <c r="AE20" s="406" t="str">
        <f t="shared" si="41"/>
        <v xml:space="preserve"> </v>
      </c>
      <c r="AF20" s="406" t="str">
        <f t="shared" si="41"/>
        <v xml:space="preserve"> </v>
      </c>
      <c r="AG20" s="406" t="str">
        <f t="shared" si="41"/>
        <v xml:space="preserve"> </v>
      </c>
      <c r="AH20" s="406" t="str">
        <f t="shared" si="41"/>
        <v xml:space="preserve"> </v>
      </c>
      <c r="AI20" s="406" t="str">
        <f t="shared" si="41"/>
        <v xml:space="preserve"> </v>
      </c>
      <c r="AJ20" s="406" t="str">
        <f t="shared" si="41"/>
        <v xml:space="preserve"> </v>
      </c>
      <c r="AK20" s="406" t="str">
        <f t="shared" si="41"/>
        <v xml:space="preserve"> </v>
      </c>
      <c r="AL20" s="406" t="str">
        <f t="shared" si="41"/>
        <v xml:space="preserve"> </v>
      </c>
      <c r="AM20" s="406" t="str">
        <f t="shared" si="41"/>
        <v xml:space="preserve"> </v>
      </c>
      <c r="AN20" s="406" t="str">
        <f t="shared" si="48"/>
        <v xml:space="preserve"> </v>
      </c>
      <c r="AO20" s="406" t="str">
        <f t="shared" si="48"/>
        <v xml:space="preserve"> </v>
      </c>
      <c r="AP20" s="406" t="str">
        <f t="shared" si="48"/>
        <v xml:space="preserve"> </v>
      </c>
      <c r="AQ20" s="406" t="str">
        <f t="shared" si="42"/>
        <v xml:space="preserve"> </v>
      </c>
      <c r="AR20" s="406" t="str">
        <f t="shared" si="42"/>
        <v xml:space="preserve"> </v>
      </c>
      <c r="AS20" s="406" t="str">
        <f t="shared" si="42"/>
        <v xml:space="preserve"> </v>
      </c>
      <c r="AT20" s="406" t="str">
        <f t="shared" si="42"/>
        <v xml:space="preserve"> </v>
      </c>
      <c r="AU20" s="406" t="str">
        <f t="shared" si="42"/>
        <v xml:space="preserve"> </v>
      </c>
      <c r="AV20" s="406" t="str">
        <f t="shared" si="42"/>
        <v xml:space="preserve"> </v>
      </c>
      <c r="AW20" s="406" t="str">
        <f t="shared" si="42"/>
        <v xml:space="preserve"> </v>
      </c>
      <c r="AX20" s="406" t="str">
        <f t="shared" si="42"/>
        <v xml:space="preserve"> </v>
      </c>
      <c r="AY20" s="406" t="str">
        <f t="shared" si="42"/>
        <v xml:space="preserve"> </v>
      </c>
      <c r="AZ20" s="406" t="str">
        <f t="shared" si="42"/>
        <v xml:space="preserve"> </v>
      </c>
      <c r="BA20" s="406" t="str">
        <f t="shared" si="42"/>
        <v xml:space="preserve"> </v>
      </c>
      <c r="BB20" s="406" t="str">
        <f t="shared" si="42"/>
        <v xml:space="preserve"> </v>
      </c>
      <c r="BC20" s="406" t="str">
        <f t="shared" si="42"/>
        <v xml:space="preserve"> </v>
      </c>
      <c r="BD20" s="406" t="str">
        <f t="shared" si="42"/>
        <v xml:space="preserve"> </v>
      </c>
      <c r="BE20" s="406" t="str">
        <f t="shared" si="42"/>
        <v xml:space="preserve"> </v>
      </c>
      <c r="BF20" s="406" t="str">
        <f t="shared" si="42"/>
        <v xml:space="preserve"> </v>
      </c>
      <c r="BG20" s="406" t="str">
        <f t="shared" si="42"/>
        <v xml:space="preserve"> </v>
      </c>
      <c r="BH20" s="406" t="str">
        <f t="shared" si="42"/>
        <v xml:space="preserve"> </v>
      </c>
      <c r="BI20" s="406" t="str">
        <f t="shared" si="42"/>
        <v xml:space="preserve"> </v>
      </c>
      <c r="BJ20" s="406" t="str">
        <f t="shared" si="42"/>
        <v xml:space="preserve"> </v>
      </c>
      <c r="BK20" s="406" t="str">
        <f t="shared" si="42"/>
        <v xml:space="preserve"> </v>
      </c>
      <c r="BL20" s="406" t="str">
        <f t="shared" si="42"/>
        <v xml:space="preserve"> </v>
      </c>
      <c r="BM20" s="406" t="str">
        <f t="shared" si="42"/>
        <v xml:space="preserve"> </v>
      </c>
      <c r="BN20" s="406" t="str">
        <f t="shared" si="42"/>
        <v xml:space="preserve"> </v>
      </c>
      <c r="BO20" s="406" t="str">
        <f t="shared" si="42"/>
        <v xml:space="preserve"> </v>
      </c>
      <c r="BP20" s="406" t="str">
        <f t="shared" si="42"/>
        <v xml:space="preserve"> </v>
      </c>
      <c r="BQ20" s="406" t="str">
        <f t="shared" si="42"/>
        <v xml:space="preserve"> </v>
      </c>
      <c r="BR20" s="406" t="str">
        <f t="shared" si="42"/>
        <v xml:space="preserve"> </v>
      </c>
      <c r="BS20" s="406" t="str">
        <f t="shared" si="42"/>
        <v xml:space="preserve"> </v>
      </c>
      <c r="BT20" s="406" t="str">
        <f t="shared" si="49"/>
        <v xml:space="preserve"> </v>
      </c>
      <c r="BU20" s="406" t="str">
        <f t="shared" si="43"/>
        <v xml:space="preserve"> </v>
      </c>
      <c r="BV20" s="406" t="str">
        <f t="shared" si="43"/>
        <v xml:space="preserve"> </v>
      </c>
      <c r="BW20" s="406" t="str">
        <f t="shared" si="43"/>
        <v xml:space="preserve"> </v>
      </c>
      <c r="BX20" s="406" t="str">
        <f t="shared" si="43"/>
        <v xml:space="preserve"> </v>
      </c>
      <c r="BY20" s="406" t="str">
        <f t="shared" si="43"/>
        <v xml:space="preserve"> </v>
      </c>
      <c r="BZ20" s="406" t="str">
        <f t="shared" si="43"/>
        <v xml:space="preserve"> </v>
      </c>
      <c r="CA20" s="406" t="str">
        <f t="shared" si="43"/>
        <v xml:space="preserve"> </v>
      </c>
      <c r="CB20" s="407" t="str">
        <f t="shared" si="43"/>
        <v xml:space="preserve"> </v>
      </c>
      <c r="CC20" s="407" t="str">
        <f t="shared" si="43"/>
        <v xml:space="preserve"> </v>
      </c>
      <c r="CD20" s="407" t="str">
        <f t="shared" si="43"/>
        <v xml:space="preserve"> </v>
      </c>
      <c r="CE20" s="407" t="str">
        <f t="shared" si="43"/>
        <v xml:space="preserve"> </v>
      </c>
      <c r="CF20" s="407" t="str">
        <f t="shared" si="43"/>
        <v xml:space="preserve"> </v>
      </c>
      <c r="CG20" s="407" t="str">
        <f t="shared" si="43"/>
        <v xml:space="preserve"> </v>
      </c>
      <c r="CH20" s="407" t="str">
        <f t="shared" si="43"/>
        <v xml:space="preserve"> </v>
      </c>
      <c r="CI20" s="407" t="str">
        <f t="shared" si="43"/>
        <v xml:space="preserve"> </v>
      </c>
      <c r="CJ20" s="407" t="str">
        <f t="shared" si="43"/>
        <v xml:space="preserve"> </v>
      </c>
      <c r="CK20" s="407" t="str">
        <f t="shared" si="43"/>
        <v xml:space="preserve"> </v>
      </c>
      <c r="CL20" s="407" t="str">
        <f t="shared" si="43"/>
        <v xml:space="preserve"> </v>
      </c>
      <c r="CM20" s="407" t="str">
        <f t="shared" si="43"/>
        <v xml:space="preserve"> </v>
      </c>
      <c r="CN20" s="407" t="str">
        <f t="shared" si="43"/>
        <v xml:space="preserve"> </v>
      </c>
      <c r="CO20" s="407" t="str">
        <f t="shared" si="43"/>
        <v xml:space="preserve"> </v>
      </c>
      <c r="CP20" s="407" t="str">
        <f t="shared" si="43"/>
        <v xml:space="preserve"> </v>
      </c>
      <c r="CQ20" s="407" t="str">
        <f t="shared" si="43"/>
        <v xml:space="preserve"> </v>
      </c>
      <c r="CR20" s="407" t="str">
        <f t="shared" si="43"/>
        <v xml:space="preserve"> </v>
      </c>
      <c r="CS20" s="407" t="str">
        <f t="shared" si="43"/>
        <v xml:space="preserve"> </v>
      </c>
      <c r="CT20" s="407" t="str">
        <f t="shared" si="43"/>
        <v xml:space="preserve"> </v>
      </c>
      <c r="CU20" s="407" t="str">
        <f t="shared" si="43"/>
        <v xml:space="preserve"> </v>
      </c>
      <c r="CV20" s="407" t="str">
        <f t="shared" si="43"/>
        <v xml:space="preserve"> </v>
      </c>
      <c r="CW20" s="407" t="str">
        <f t="shared" si="43"/>
        <v xml:space="preserve"> </v>
      </c>
      <c r="CX20" s="407" t="str">
        <f t="shared" si="43"/>
        <v xml:space="preserve"> </v>
      </c>
      <c r="CY20" s="407" t="str">
        <f t="shared" si="43"/>
        <v xml:space="preserve"> </v>
      </c>
      <c r="CZ20" s="407" t="str">
        <f t="shared" si="43"/>
        <v xml:space="preserve"> </v>
      </c>
      <c r="DA20" s="407" t="str">
        <f t="shared" si="43"/>
        <v xml:space="preserve"> </v>
      </c>
      <c r="DB20" s="407" t="str">
        <f t="shared" si="43"/>
        <v xml:space="preserve"> </v>
      </c>
      <c r="DC20" s="407" t="str">
        <f t="shared" si="43"/>
        <v xml:space="preserve"> </v>
      </c>
      <c r="DD20" s="407" t="str">
        <f t="shared" si="43"/>
        <v xml:space="preserve"> </v>
      </c>
      <c r="DE20" s="407" t="str">
        <f t="shared" si="43"/>
        <v xml:space="preserve"> </v>
      </c>
      <c r="DF20" s="407" t="str">
        <f t="shared" si="43"/>
        <v xml:space="preserve"> </v>
      </c>
      <c r="DG20" s="407" t="str">
        <f t="shared" si="43"/>
        <v xml:space="preserve"> </v>
      </c>
      <c r="DH20" s="407" t="str">
        <f t="shared" si="43"/>
        <v xml:space="preserve"> </v>
      </c>
      <c r="DI20" s="407" t="str">
        <f t="shared" si="43"/>
        <v xml:space="preserve"> </v>
      </c>
      <c r="DJ20" s="407" t="str">
        <f t="shared" si="43"/>
        <v xml:space="preserve"> </v>
      </c>
      <c r="DK20" s="407" t="str">
        <f t="shared" si="43"/>
        <v xml:space="preserve"> </v>
      </c>
      <c r="DL20" s="407" t="str">
        <f t="shared" si="43"/>
        <v xml:space="preserve"> </v>
      </c>
      <c r="DM20" s="407" t="str">
        <f t="shared" si="43"/>
        <v xml:space="preserve"> </v>
      </c>
      <c r="DN20" s="407" t="str">
        <f t="shared" si="43"/>
        <v xml:space="preserve"> </v>
      </c>
      <c r="DO20" s="407" t="str">
        <f t="shared" si="43"/>
        <v xml:space="preserve"> </v>
      </c>
      <c r="DP20" s="407" t="str">
        <f t="shared" si="43"/>
        <v xml:space="preserve"> </v>
      </c>
      <c r="DQ20" s="407" t="str">
        <f t="shared" si="50"/>
        <v xml:space="preserve"> </v>
      </c>
      <c r="DR20" s="407" t="str">
        <f t="shared" si="50"/>
        <v xml:space="preserve"> </v>
      </c>
      <c r="DS20" s="407" t="str">
        <f t="shared" si="50"/>
        <v xml:space="preserve"> </v>
      </c>
      <c r="DT20" s="407" t="str">
        <f t="shared" si="50"/>
        <v xml:space="preserve"> </v>
      </c>
      <c r="DU20" s="407" t="str">
        <f t="shared" si="50"/>
        <v xml:space="preserve"> </v>
      </c>
      <c r="DV20" s="407" t="str">
        <f t="shared" si="50"/>
        <v xml:space="preserve"> </v>
      </c>
      <c r="DW20" s="407" t="str">
        <f t="shared" si="50"/>
        <v xml:space="preserve"> </v>
      </c>
      <c r="DX20" s="407" t="str">
        <f t="shared" si="50"/>
        <v xml:space="preserve"> </v>
      </c>
      <c r="DY20" s="407" t="str">
        <f t="shared" si="50"/>
        <v xml:space="preserve"> </v>
      </c>
      <c r="DZ20" s="407" t="str">
        <f t="shared" si="50"/>
        <v xml:space="preserve"> </v>
      </c>
      <c r="EA20" s="407" t="str">
        <f t="shared" si="50"/>
        <v xml:space="preserve"> </v>
      </c>
      <c r="EB20" s="407" t="str">
        <f t="shared" si="50"/>
        <v xml:space="preserve"> </v>
      </c>
      <c r="EC20" s="407" t="str">
        <f t="shared" si="50"/>
        <v xml:space="preserve"> </v>
      </c>
      <c r="ED20" s="407" t="str">
        <f t="shared" si="50"/>
        <v xml:space="preserve"> </v>
      </c>
      <c r="EE20" s="407" t="str">
        <f t="shared" si="50"/>
        <v xml:space="preserve"> </v>
      </c>
    </row>
    <row r="21" spans="1:135" s="408" customFormat="1" x14ac:dyDescent="0.25">
      <c r="A21" s="390">
        <v>3</v>
      </c>
      <c r="B21" s="391" t="str">
        <f t="shared" ref="B21:B23" si="55">IF(A21="","-",IF(A21&gt;prevLevel,IF(OR(prevWBS="",prevWBS="-"),"1",prevWBS)&amp;REPT(".1",A21-MAX(prevLevel,1)),IF(ISERROR(FIND(".",prevWBS)),REPT("1.",A21-1)&amp;IFERROR(VALUE(prevWBS)+1,"1"),IF(A21=1,"",IFERROR(LEFT(prevWBS,FIND("^",SUBSTITUTE(prevWBS,".","^",A21-1))),""))&amp;VALUE(TRIM(MID(SUBSTITUTE(prevWBS,".",REPT(" ",LEN(prevWBS))),(A21-1)*LEN(prevWBS)+1,LEN(prevWBS))))+1)))</f>
        <v>1.5.3</v>
      </c>
      <c r="C21" s="393" t="s">
        <v>909</v>
      </c>
      <c r="D21" s="393"/>
      <c r="E21" s="394"/>
      <c r="F21" s="409"/>
      <c r="G21" s="410"/>
      <c r="H21" s="410"/>
      <c r="I21" s="410"/>
      <c r="J21" s="411">
        <v>45505</v>
      </c>
      <c r="K21" s="412"/>
      <c r="L21" s="413"/>
      <c r="M21" s="411">
        <v>45536</v>
      </c>
      <c r="N21" s="414" t="s">
        <v>127</v>
      </c>
      <c r="O21" s="415">
        <v>0</v>
      </c>
      <c r="P21" s="401">
        <v>3</v>
      </c>
      <c r="Q21" s="402">
        <f t="shared" si="26"/>
        <v>45505</v>
      </c>
      <c r="R21" s="402">
        <f t="shared" ref="R21" si="56">IF(Q21=" - "," - ",MAX(M21,IF(L21&lt;&gt;"",Q21+MAX(0,L21-1),WORKDAY.INTL(IF(NETWORKDAYS.INTL(Q21,Q21,weekend,holidays)=0,WORKDAY.INTL(Q21,1,weekend,holidays),Q21),MAX(0,K21-1),weekend,holidays))))</f>
        <v>45536</v>
      </c>
      <c r="S21" s="403">
        <f t="shared" ref="S21" si="57">IF(OR(NOT(ISNUMBER(Q21)),NOT(ISNUMBER(R21)))," - ",NETWORKDAYS.INTL(Q21,R21,weekend,holidays))</f>
        <v>20</v>
      </c>
      <c r="T21" s="403">
        <f t="shared" ref="T21" si="58">IF(OR(NOT(ISNUMBER(Q21)),NOT(ISNUMBER(R21)))," - ",R21-Q21+1)</f>
        <v>32</v>
      </c>
      <c r="U21" s="404"/>
      <c r="V21" s="404"/>
      <c r="W21" s="405"/>
      <c r="X21" s="406" t="str">
        <f t="shared" si="41"/>
        <v xml:space="preserve"> </v>
      </c>
      <c r="Y21" s="406" t="str">
        <f t="shared" si="41"/>
        <v xml:space="preserve"> </v>
      </c>
      <c r="Z21" s="406" t="str">
        <f t="shared" si="41"/>
        <v xml:space="preserve"> </v>
      </c>
      <c r="AA21" s="406" t="str">
        <f t="shared" si="41"/>
        <v xml:space="preserve"> </v>
      </c>
      <c r="AB21" s="406" t="str">
        <f t="shared" si="41"/>
        <v xml:space="preserve"> </v>
      </c>
      <c r="AC21" s="406" t="str">
        <f t="shared" si="41"/>
        <v xml:space="preserve"> </v>
      </c>
      <c r="AD21" s="406" t="str">
        <f t="shared" si="41"/>
        <v xml:space="preserve"> </v>
      </c>
      <c r="AE21" s="406" t="str">
        <f t="shared" si="41"/>
        <v xml:space="preserve"> </v>
      </c>
      <c r="AF21" s="406" t="str">
        <f t="shared" si="41"/>
        <v xml:space="preserve"> </v>
      </c>
      <c r="AG21" s="406" t="str">
        <f t="shared" si="41"/>
        <v xml:space="preserve"> </v>
      </c>
      <c r="AH21" s="406" t="str">
        <f t="shared" si="41"/>
        <v xml:space="preserve"> </v>
      </c>
      <c r="AI21" s="406" t="str">
        <f t="shared" si="41"/>
        <v xml:space="preserve"> </v>
      </c>
      <c r="AJ21" s="406" t="str">
        <f t="shared" si="41"/>
        <v xml:space="preserve"> </v>
      </c>
      <c r="AK21" s="406" t="str">
        <f t="shared" si="41"/>
        <v xml:space="preserve"> </v>
      </c>
      <c r="AL21" s="406" t="str">
        <f t="shared" si="41"/>
        <v xml:space="preserve"> </v>
      </c>
      <c r="AM21" s="406" t="str">
        <f t="shared" si="41"/>
        <v xml:space="preserve"> </v>
      </c>
      <c r="AN21" s="406" t="str">
        <f t="shared" si="48"/>
        <v xml:space="preserve"> </v>
      </c>
      <c r="AO21" s="406" t="str">
        <f t="shared" si="48"/>
        <v xml:space="preserve"> </v>
      </c>
      <c r="AP21" s="406" t="str">
        <f t="shared" si="48"/>
        <v xml:space="preserve"> </v>
      </c>
      <c r="AQ21" s="406" t="str">
        <f t="shared" si="42"/>
        <v xml:space="preserve"> </v>
      </c>
      <c r="AR21" s="406" t="str">
        <f t="shared" si="42"/>
        <v xml:space="preserve"> </v>
      </c>
      <c r="AS21" s="406" t="str">
        <f t="shared" si="42"/>
        <v xml:space="preserve"> </v>
      </c>
      <c r="AT21" s="406" t="str">
        <f t="shared" si="42"/>
        <v xml:space="preserve"> </v>
      </c>
      <c r="AU21" s="406" t="str">
        <f t="shared" si="42"/>
        <v xml:space="preserve"> </v>
      </c>
      <c r="AV21" s="406" t="str">
        <f t="shared" si="42"/>
        <v xml:space="preserve"> </v>
      </c>
      <c r="AW21" s="406" t="str">
        <f t="shared" si="42"/>
        <v xml:space="preserve"> </v>
      </c>
      <c r="AX21" s="406" t="str">
        <f t="shared" si="42"/>
        <v xml:space="preserve"> </v>
      </c>
      <c r="AY21" s="406" t="str">
        <f t="shared" si="42"/>
        <v xml:space="preserve"> </v>
      </c>
      <c r="AZ21" s="406" t="str">
        <f t="shared" si="42"/>
        <v xml:space="preserve"> </v>
      </c>
      <c r="BA21" s="406" t="str">
        <f t="shared" si="42"/>
        <v xml:space="preserve"> </v>
      </c>
      <c r="BB21" s="406" t="str">
        <f t="shared" si="42"/>
        <v xml:space="preserve"> </v>
      </c>
      <c r="BC21" s="406" t="str">
        <f t="shared" si="42"/>
        <v xml:space="preserve"> </v>
      </c>
      <c r="BD21" s="406" t="str">
        <f t="shared" si="42"/>
        <v xml:space="preserve"> </v>
      </c>
      <c r="BE21" s="406" t="str">
        <f t="shared" si="42"/>
        <v xml:space="preserve"> </v>
      </c>
      <c r="BF21" s="406" t="str">
        <f t="shared" si="42"/>
        <v xml:space="preserve"> </v>
      </c>
      <c r="BG21" s="406" t="str">
        <f t="shared" si="42"/>
        <v xml:space="preserve"> </v>
      </c>
      <c r="BH21" s="406" t="str">
        <f t="shared" si="42"/>
        <v xml:space="preserve"> </v>
      </c>
      <c r="BI21" s="406" t="str">
        <f t="shared" si="42"/>
        <v xml:space="preserve"> </v>
      </c>
      <c r="BJ21" s="406" t="str">
        <f t="shared" si="42"/>
        <v xml:space="preserve"> </v>
      </c>
      <c r="BK21" s="406" t="str">
        <f t="shared" si="42"/>
        <v xml:space="preserve"> </v>
      </c>
      <c r="BL21" s="406" t="str">
        <f t="shared" si="42"/>
        <v xml:space="preserve"> </v>
      </c>
      <c r="BM21" s="406" t="str">
        <f t="shared" si="42"/>
        <v xml:space="preserve"> </v>
      </c>
      <c r="BN21" s="406" t="str">
        <f t="shared" si="42"/>
        <v xml:space="preserve"> </v>
      </c>
      <c r="BO21" s="406" t="str">
        <f t="shared" si="42"/>
        <v xml:space="preserve"> </v>
      </c>
      <c r="BP21" s="406" t="str">
        <f t="shared" si="42"/>
        <v xml:space="preserve"> </v>
      </c>
      <c r="BQ21" s="406" t="str">
        <f t="shared" si="42"/>
        <v xml:space="preserve"> </v>
      </c>
      <c r="BR21" s="406" t="str">
        <f t="shared" si="42"/>
        <v xml:space="preserve"> </v>
      </c>
      <c r="BS21" s="406" t="str">
        <f t="shared" si="42"/>
        <v xml:space="preserve"> </v>
      </c>
      <c r="BT21" s="406" t="str">
        <f t="shared" si="49"/>
        <v xml:space="preserve"> </v>
      </c>
      <c r="BU21" s="406" t="str">
        <f t="shared" si="43"/>
        <v xml:space="preserve"> </v>
      </c>
      <c r="BV21" s="406" t="str">
        <f t="shared" si="43"/>
        <v xml:space="preserve"> </v>
      </c>
      <c r="BW21" s="406" t="str">
        <f t="shared" si="43"/>
        <v xml:space="preserve"> </v>
      </c>
      <c r="BX21" s="406" t="str">
        <f t="shared" si="43"/>
        <v xml:space="preserve"> </v>
      </c>
      <c r="BY21" s="406" t="str">
        <f t="shared" si="43"/>
        <v xml:space="preserve"> </v>
      </c>
      <c r="BZ21" s="406" t="str">
        <f t="shared" si="43"/>
        <v xml:space="preserve"> </v>
      </c>
      <c r="CA21" s="406" t="str">
        <f t="shared" si="43"/>
        <v xml:space="preserve"> </v>
      </c>
      <c r="CB21" s="407" t="str">
        <f t="shared" si="43"/>
        <v xml:space="preserve"> </v>
      </c>
      <c r="CC21" s="407" t="str">
        <f t="shared" si="43"/>
        <v xml:space="preserve"> </v>
      </c>
      <c r="CD21" s="407" t="str">
        <f t="shared" si="43"/>
        <v xml:space="preserve"> </v>
      </c>
      <c r="CE21" s="407" t="str">
        <f t="shared" si="43"/>
        <v xml:space="preserve"> </v>
      </c>
      <c r="CF21" s="407" t="str">
        <f t="shared" si="43"/>
        <v xml:space="preserve"> </v>
      </c>
      <c r="CG21" s="407" t="str">
        <f t="shared" si="43"/>
        <v xml:space="preserve"> </v>
      </c>
      <c r="CH21" s="407" t="str">
        <f t="shared" si="43"/>
        <v xml:space="preserve"> </v>
      </c>
      <c r="CI21" s="407" t="str">
        <f t="shared" si="43"/>
        <v xml:space="preserve"> </v>
      </c>
      <c r="CJ21" s="407" t="str">
        <f t="shared" ref="CJ21:DP21" si="59">" "</f>
        <v xml:space="preserve"> </v>
      </c>
      <c r="CK21" s="407" t="str">
        <f t="shared" si="59"/>
        <v xml:space="preserve"> </v>
      </c>
      <c r="CL21" s="407" t="str">
        <f t="shared" si="59"/>
        <v xml:space="preserve"> </v>
      </c>
      <c r="CM21" s="407" t="str">
        <f t="shared" si="59"/>
        <v xml:space="preserve"> </v>
      </c>
      <c r="CN21" s="407" t="str">
        <f t="shared" si="59"/>
        <v xml:space="preserve"> </v>
      </c>
      <c r="CO21" s="407" t="str">
        <f t="shared" si="59"/>
        <v xml:space="preserve"> </v>
      </c>
      <c r="CP21" s="407" t="str">
        <f t="shared" si="59"/>
        <v xml:space="preserve"> </v>
      </c>
      <c r="CQ21" s="407" t="str">
        <f t="shared" si="59"/>
        <v xml:space="preserve"> </v>
      </c>
      <c r="CR21" s="407" t="str">
        <f t="shared" si="59"/>
        <v xml:space="preserve"> </v>
      </c>
      <c r="CS21" s="407" t="str">
        <f t="shared" si="59"/>
        <v xml:space="preserve"> </v>
      </c>
      <c r="CT21" s="407" t="str">
        <f t="shared" si="59"/>
        <v xml:space="preserve"> </v>
      </c>
      <c r="CU21" s="407" t="str">
        <f t="shared" si="59"/>
        <v xml:space="preserve"> </v>
      </c>
      <c r="CV21" s="407" t="str">
        <f t="shared" si="59"/>
        <v xml:space="preserve"> </v>
      </c>
      <c r="CW21" s="407" t="str">
        <f t="shared" si="59"/>
        <v xml:space="preserve"> </v>
      </c>
      <c r="CX21" s="407" t="str">
        <f t="shared" si="59"/>
        <v xml:space="preserve"> </v>
      </c>
      <c r="CY21" s="407" t="str">
        <f t="shared" si="59"/>
        <v xml:space="preserve"> </v>
      </c>
      <c r="CZ21" s="407" t="str">
        <f t="shared" si="59"/>
        <v xml:space="preserve"> </v>
      </c>
      <c r="DA21" s="407" t="str">
        <f t="shared" si="59"/>
        <v xml:space="preserve"> </v>
      </c>
      <c r="DB21" s="407" t="str">
        <f t="shared" si="59"/>
        <v xml:space="preserve"> </v>
      </c>
      <c r="DC21" s="407" t="str">
        <f t="shared" si="59"/>
        <v xml:space="preserve"> </v>
      </c>
      <c r="DD21" s="407" t="str">
        <f t="shared" si="59"/>
        <v xml:space="preserve"> </v>
      </c>
      <c r="DE21" s="407" t="str">
        <f t="shared" si="59"/>
        <v xml:space="preserve"> </v>
      </c>
      <c r="DF21" s="407" t="str">
        <f t="shared" si="59"/>
        <v xml:space="preserve"> </v>
      </c>
      <c r="DG21" s="407" t="str">
        <f t="shared" si="59"/>
        <v xml:space="preserve"> </v>
      </c>
      <c r="DH21" s="407" t="str">
        <f t="shared" si="59"/>
        <v xml:space="preserve"> </v>
      </c>
      <c r="DI21" s="407" t="str">
        <f t="shared" si="59"/>
        <v xml:space="preserve"> </v>
      </c>
      <c r="DJ21" s="407" t="str">
        <f t="shared" si="59"/>
        <v xml:space="preserve"> </v>
      </c>
      <c r="DK21" s="407" t="str">
        <f t="shared" si="59"/>
        <v xml:space="preserve"> </v>
      </c>
      <c r="DL21" s="407" t="str">
        <f t="shared" si="59"/>
        <v xml:space="preserve"> </v>
      </c>
      <c r="DM21" s="407" t="str">
        <f t="shared" si="59"/>
        <v xml:space="preserve"> </v>
      </c>
      <c r="DN21" s="407" t="str">
        <f t="shared" si="59"/>
        <v xml:space="preserve"> </v>
      </c>
      <c r="DO21" s="407" t="str">
        <f t="shared" si="59"/>
        <v xml:space="preserve"> </v>
      </c>
      <c r="DP21" s="407" t="str">
        <f t="shared" si="59"/>
        <v xml:space="preserve"> </v>
      </c>
      <c r="DQ21" s="407" t="str">
        <f t="shared" si="50"/>
        <v xml:space="preserve"> </v>
      </c>
      <c r="DR21" s="407" t="str">
        <f t="shared" si="50"/>
        <v xml:space="preserve"> </v>
      </c>
      <c r="DS21" s="407" t="str">
        <f t="shared" si="50"/>
        <v xml:space="preserve"> </v>
      </c>
      <c r="DT21" s="407" t="str">
        <f t="shared" si="50"/>
        <v xml:space="preserve"> </v>
      </c>
      <c r="DU21" s="407" t="str">
        <f t="shared" si="50"/>
        <v xml:space="preserve"> </v>
      </c>
      <c r="DV21" s="407" t="str">
        <f t="shared" si="50"/>
        <v xml:space="preserve"> </v>
      </c>
      <c r="DW21" s="407" t="str">
        <f t="shared" si="50"/>
        <v xml:space="preserve"> </v>
      </c>
      <c r="DX21" s="407" t="str">
        <f t="shared" si="50"/>
        <v xml:space="preserve"> </v>
      </c>
      <c r="DY21" s="407" t="str">
        <f t="shared" si="50"/>
        <v xml:space="preserve"> </v>
      </c>
      <c r="DZ21" s="407" t="str">
        <f t="shared" si="50"/>
        <v xml:space="preserve"> </v>
      </c>
      <c r="EA21" s="407" t="str">
        <f t="shared" si="50"/>
        <v xml:space="preserve"> </v>
      </c>
      <c r="EB21" s="407" t="str">
        <f t="shared" si="50"/>
        <v xml:space="preserve"> </v>
      </c>
      <c r="EC21" s="407" t="str">
        <f t="shared" si="50"/>
        <v xml:space="preserve"> </v>
      </c>
      <c r="ED21" s="407" t="str">
        <f t="shared" si="50"/>
        <v xml:space="preserve"> </v>
      </c>
      <c r="EE21" s="407" t="str">
        <f t="shared" si="50"/>
        <v xml:space="preserve"> </v>
      </c>
    </row>
    <row r="22" spans="1:135" s="408" customFormat="1" x14ac:dyDescent="0.25">
      <c r="A22" s="390">
        <v>3</v>
      </c>
      <c r="B22" s="391" t="str">
        <f t="shared" si="55"/>
        <v>1.5.4</v>
      </c>
      <c r="C22" s="393" t="s">
        <v>1233</v>
      </c>
      <c r="D22" s="393"/>
      <c r="E22" s="394"/>
      <c r="F22" s="409"/>
      <c r="G22" s="410"/>
      <c r="H22" s="410"/>
      <c r="I22" s="410"/>
      <c r="J22" s="411">
        <v>45444</v>
      </c>
      <c r="K22" s="412"/>
      <c r="L22" s="413"/>
      <c r="M22" s="411">
        <v>45536</v>
      </c>
      <c r="N22" s="414">
        <v>1</v>
      </c>
      <c r="O22" s="415">
        <v>0</v>
      </c>
      <c r="P22" s="401">
        <v>3</v>
      </c>
      <c r="Q22" s="402"/>
      <c r="R22" s="402"/>
      <c r="S22" s="403"/>
      <c r="T22" s="403"/>
      <c r="U22" s="404"/>
      <c r="V22" s="404"/>
      <c r="W22" s="405"/>
      <c r="X22" s="406"/>
      <c r="Y22" s="406"/>
      <c r="Z22" s="406"/>
      <c r="AA22" s="406"/>
      <c r="AB22" s="406"/>
      <c r="AC22" s="406"/>
      <c r="AD22" s="406"/>
      <c r="AE22" s="406"/>
      <c r="AF22" s="406"/>
      <c r="AG22" s="406"/>
      <c r="AH22" s="406"/>
      <c r="AI22" s="406"/>
      <c r="AJ22" s="406"/>
      <c r="AK22" s="406"/>
      <c r="AL22" s="406"/>
      <c r="AM22" s="406"/>
      <c r="AN22" s="406"/>
      <c r="AO22" s="406"/>
      <c r="AP22" s="406"/>
      <c r="AQ22" s="406"/>
      <c r="AR22" s="406"/>
      <c r="AS22" s="406"/>
      <c r="AT22" s="406"/>
      <c r="AU22" s="406"/>
      <c r="AV22" s="406"/>
      <c r="AW22" s="406"/>
      <c r="AX22" s="406"/>
      <c r="AY22" s="406"/>
      <c r="AZ22" s="406"/>
      <c r="BA22" s="406"/>
      <c r="BB22" s="406"/>
      <c r="BC22" s="406"/>
      <c r="BD22" s="406"/>
      <c r="BE22" s="406"/>
      <c r="BF22" s="406"/>
      <c r="BG22" s="406"/>
      <c r="BH22" s="406"/>
      <c r="BI22" s="406"/>
      <c r="BJ22" s="406"/>
      <c r="BK22" s="406"/>
      <c r="BL22" s="406"/>
      <c r="BM22" s="406"/>
      <c r="BN22" s="406"/>
      <c r="BO22" s="406"/>
      <c r="BP22" s="406"/>
      <c r="BQ22" s="406"/>
      <c r="BR22" s="406"/>
      <c r="BS22" s="406"/>
      <c r="BT22" s="406"/>
      <c r="BU22" s="406"/>
      <c r="BV22" s="406"/>
      <c r="BW22" s="406"/>
      <c r="BX22" s="406"/>
      <c r="BY22" s="406"/>
      <c r="BZ22" s="406"/>
      <c r="CA22" s="406"/>
      <c r="CB22" s="407"/>
      <c r="CC22" s="407"/>
      <c r="CD22" s="407"/>
      <c r="CE22" s="407"/>
      <c r="CF22" s="407"/>
      <c r="CG22" s="407"/>
      <c r="CH22" s="407"/>
      <c r="CI22" s="407"/>
      <c r="CJ22" s="407"/>
      <c r="CK22" s="407"/>
      <c r="CL22" s="407"/>
      <c r="CM22" s="407"/>
      <c r="CN22" s="407"/>
      <c r="CO22" s="407"/>
      <c r="CP22" s="407"/>
      <c r="CQ22" s="407"/>
      <c r="CR22" s="407"/>
      <c r="CS22" s="407"/>
      <c r="CT22" s="407"/>
      <c r="CU22" s="407"/>
      <c r="CV22" s="407"/>
      <c r="CW22" s="407"/>
      <c r="CX22" s="407"/>
      <c r="CY22" s="407"/>
      <c r="CZ22" s="407"/>
      <c r="DA22" s="407"/>
      <c r="DB22" s="407"/>
      <c r="DC22" s="407"/>
      <c r="DD22" s="407"/>
      <c r="DE22" s="407"/>
      <c r="DF22" s="407"/>
      <c r="DG22" s="407"/>
      <c r="DH22" s="407"/>
      <c r="DI22" s="407"/>
      <c r="DJ22" s="407"/>
      <c r="DK22" s="407"/>
      <c r="DL22" s="407"/>
      <c r="DM22" s="407"/>
      <c r="DN22" s="407"/>
      <c r="DO22" s="407"/>
      <c r="DP22" s="407"/>
      <c r="DQ22" s="407"/>
      <c r="DR22" s="407"/>
      <c r="DS22" s="407"/>
      <c r="DT22" s="407"/>
      <c r="DU22" s="407"/>
      <c r="DV22" s="407"/>
      <c r="DW22" s="407"/>
      <c r="DX22" s="407"/>
      <c r="DY22" s="407"/>
      <c r="DZ22" s="407"/>
      <c r="EA22" s="407"/>
      <c r="EB22" s="407"/>
      <c r="EC22" s="407"/>
      <c r="ED22" s="407"/>
      <c r="EE22" s="407"/>
    </row>
    <row r="23" spans="1:135" s="408" customFormat="1" x14ac:dyDescent="0.25">
      <c r="A23" s="390">
        <v>3</v>
      </c>
      <c r="B23" s="391" t="str">
        <f t="shared" si="55"/>
        <v>1.5.5</v>
      </c>
      <c r="C23" s="393" t="s">
        <v>1262</v>
      </c>
      <c r="D23" s="393"/>
      <c r="E23" s="394"/>
      <c r="F23" s="409"/>
      <c r="G23" s="410"/>
      <c r="H23" s="410"/>
      <c r="I23" s="410"/>
      <c r="J23" s="411">
        <v>45444</v>
      </c>
      <c r="K23" s="412"/>
      <c r="L23" s="413"/>
      <c r="M23" s="411">
        <v>45536</v>
      </c>
      <c r="N23" s="414">
        <v>2</v>
      </c>
      <c r="O23" s="415">
        <v>0</v>
      </c>
      <c r="P23" s="401">
        <v>3</v>
      </c>
      <c r="Q23" s="402"/>
      <c r="R23" s="402"/>
      <c r="S23" s="403"/>
      <c r="T23" s="403"/>
      <c r="U23" s="404"/>
      <c r="V23" s="404"/>
      <c r="W23" s="405"/>
      <c r="X23" s="406"/>
      <c r="Y23" s="406"/>
      <c r="Z23" s="406"/>
      <c r="AA23" s="406"/>
      <c r="AB23" s="406"/>
      <c r="AC23" s="406"/>
      <c r="AD23" s="406"/>
      <c r="AE23" s="406"/>
      <c r="AF23" s="406"/>
      <c r="AG23" s="406"/>
      <c r="AH23" s="406"/>
      <c r="AI23" s="406"/>
      <c r="AJ23" s="406"/>
      <c r="AK23" s="406"/>
      <c r="AL23" s="406"/>
      <c r="AM23" s="406"/>
      <c r="AN23" s="406"/>
      <c r="AO23" s="406"/>
      <c r="AP23" s="406"/>
      <c r="AQ23" s="406"/>
      <c r="AR23" s="406"/>
      <c r="AS23" s="406"/>
      <c r="AT23" s="406"/>
      <c r="AU23" s="406"/>
      <c r="AV23" s="406"/>
      <c r="AW23" s="406"/>
      <c r="AX23" s="406"/>
      <c r="AY23" s="406"/>
      <c r="AZ23" s="406"/>
      <c r="BA23" s="406"/>
      <c r="BB23" s="406"/>
      <c r="BC23" s="406"/>
      <c r="BD23" s="406"/>
      <c r="BE23" s="406"/>
      <c r="BF23" s="406"/>
      <c r="BG23" s="406"/>
      <c r="BH23" s="406"/>
      <c r="BI23" s="406"/>
      <c r="BJ23" s="406"/>
      <c r="BK23" s="406"/>
      <c r="BL23" s="406"/>
      <c r="BM23" s="406"/>
      <c r="BN23" s="406"/>
      <c r="BO23" s="406"/>
      <c r="BP23" s="406"/>
      <c r="BQ23" s="406"/>
      <c r="BR23" s="406"/>
      <c r="BS23" s="406"/>
      <c r="BT23" s="406"/>
      <c r="BU23" s="406"/>
      <c r="BV23" s="406"/>
      <c r="BW23" s="406"/>
      <c r="BX23" s="406"/>
      <c r="BY23" s="406"/>
      <c r="BZ23" s="406"/>
      <c r="CA23" s="406"/>
      <c r="CB23" s="407"/>
      <c r="CC23" s="407"/>
      <c r="CD23" s="407"/>
      <c r="CE23" s="407"/>
      <c r="CF23" s="407"/>
      <c r="CG23" s="407"/>
      <c r="CH23" s="407"/>
      <c r="CI23" s="407"/>
      <c r="CJ23" s="407"/>
      <c r="CK23" s="407"/>
      <c r="CL23" s="407"/>
      <c r="CM23" s="407"/>
      <c r="CN23" s="407"/>
      <c r="CO23" s="407"/>
      <c r="CP23" s="407"/>
      <c r="CQ23" s="407"/>
      <c r="CR23" s="407"/>
      <c r="CS23" s="407"/>
      <c r="CT23" s="407"/>
      <c r="CU23" s="407"/>
      <c r="CV23" s="407"/>
      <c r="CW23" s="407"/>
      <c r="CX23" s="407"/>
      <c r="CY23" s="407"/>
      <c r="CZ23" s="407"/>
      <c r="DA23" s="407"/>
      <c r="DB23" s="407"/>
      <c r="DC23" s="407"/>
      <c r="DD23" s="407"/>
      <c r="DE23" s="407"/>
      <c r="DF23" s="407"/>
      <c r="DG23" s="407"/>
      <c r="DH23" s="407"/>
      <c r="DI23" s="407"/>
      <c r="DJ23" s="407"/>
      <c r="DK23" s="407"/>
      <c r="DL23" s="407"/>
      <c r="DM23" s="407"/>
      <c r="DN23" s="407"/>
      <c r="DO23" s="407"/>
      <c r="DP23" s="407"/>
      <c r="DQ23" s="407"/>
      <c r="DR23" s="407"/>
      <c r="DS23" s="407"/>
      <c r="DT23" s="407"/>
      <c r="DU23" s="407"/>
      <c r="DV23" s="407"/>
      <c r="DW23" s="407"/>
      <c r="DX23" s="407"/>
      <c r="DY23" s="407"/>
      <c r="DZ23" s="407"/>
      <c r="EA23" s="407"/>
      <c r="EB23" s="407"/>
      <c r="EC23" s="407"/>
      <c r="ED23" s="407"/>
      <c r="EE23" s="407"/>
    </row>
    <row r="24" spans="1:135" s="408" customFormat="1" x14ac:dyDescent="0.25">
      <c r="A24" s="390">
        <v>1</v>
      </c>
      <c r="B24" s="391" t="str">
        <f t="shared" si="25"/>
        <v>2</v>
      </c>
      <c r="C24" s="392" t="s">
        <v>57</v>
      </c>
      <c r="D24" s="393"/>
      <c r="E24" s="394"/>
      <c r="F24" s="395"/>
      <c r="G24" s="396"/>
      <c r="H24" s="396"/>
      <c r="I24" s="396"/>
      <c r="J24" s="535">
        <f>MIN(Q25:Q35)</f>
        <v>45536</v>
      </c>
      <c r="K24" s="397"/>
      <c r="L24" s="398"/>
      <c r="M24" s="535">
        <f>MAX(R25:R35)</f>
        <v>45688</v>
      </c>
      <c r="N24" s="399" t="s">
        <v>863</v>
      </c>
      <c r="O24" s="400">
        <v>0</v>
      </c>
      <c r="P24" s="401"/>
      <c r="Q24" s="402">
        <f t="shared" ref="Q24:Q47" si="60">IF(OR(J24&lt;&gt;"",F24&lt;&gt;""),MAX(J24,IF(F24&lt;&gt;"",WORKDAY.INTL(MAX(IFERROR(INDEX($R$11:$R$60,MATCH(F24,$B$11:$B$60,0)),0),IFERROR(INDEX($R$11:$R$60,MATCH(G24,$B$11:$B$60,0)),0),IFERROR(INDEX($R$11:$R$60,MATCH(H24,$B$11:$B$60,0)),0)),IF(ISBLANK(I24),1,I24+1),weekend,holidays),0)),IF(M24&lt;&gt;"",IF(L24&lt;&gt;"",M24-MAX(0,L24-1),WORKDAY.INTL(M24,-(MAX(K24,1)-1),weekend,holidays))," - "))</f>
        <v>45536</v>
      </c>
      <c r="R24" s="402">
        <f t="shared" si="27"/>
        <v>45688</v>
      </c>
      <c r="S24" s="403">
        <f t="shared" si="28"/>
        <v>102</v>
      </c>
      <c r="T24" s="403">
        <f t="shared" si="36"/>
        <v>153</v>
      </c>
      <c r="U24" s="404"/>
      <c r="V24" s="404"/>
      <c r="W24" s="405"/>
      <c r="X24" s="406" t="str">
        <f t="shared" si="29"/>
        <v xml:space="preserve"> </v>
      </c>
      <c r="Y24" s="406" t="str">
        <f t="shared" si="29"/>
        <v xml:space="preserve"> </v>
      </c>
      <c r="Z24" s="406" t="str">
        <f t="shared" si="29"/>
        <v xml:space="preserve"> </v>
      </c>
      <c r="AA24" s="406" t="str">
        <f t="shared" si="29"/>
        <v xml:space="preserve"> </v>
      </c>
      <c r="AB24" s="406" t="str">
        <f t="shared" si="29"/>
        <v xml:space="preserve"> </v>
      </c>
      <c r="AC24" s="406" t="str">
        <f t="shared" si="29"/>
        <v xml:space="preserve"> </v>
      </c>
      <c r="AD24" s="406" t="str">
        <f t="shared" si="29"/>
        <v xml:space="preserve"> </v>
      </c>
      <c r="AE24" s="406" t="str">
        <f t="shared" si="29"/>
        <v xml:space="preserve"> </v>
      </c>
      <c r="AF24" s="406" t="str">
        <f t="shared" si="29"/>
        <v xml:space="preserve"> </v>
      </c>
      <c r="AG24" s="406" t="str">
        <f t="shared" si="29"/>
        <v xml:space="preserve"> </v>
      </c>
      <c r="AH24" s="406" t="str">
        <f t="shared" si="29"/>
        <v xml:space="preserve"> </v>
      </c>
      <c r="AI24" s="406" t="str">
        <f t="shared" si="29"/>
        <v xml:space="preserve"> </v>
      </c>
      <c r="AJ24" s="406" t="str">
        <f t="shared" si="29"/>
        <v xml:space="preserve"> </v>
      </c>
      <c r="AK24" s="406" t="str">
        <f t="shared" si="29"/>
        <v xml:space="preserve"> </v>
      </c>
      <c r="AL24" s="406" t="str">
        <f t="shared" si="29"/>
        <v xml:space="preserve"> </v>
      </c>
      <c r="AM24" s="406" t="str">
        <f t="shared" si="29"/>
        <v xml:space="preserve"> </v>
      </c>
      <c r="AN24" s="406" t="str">
        <f t="shared" si="30"/>
        <v xml:space="preserve"> </v>
      </c>
      <c r="AO24" s="406" t="str">
        <f t="shared" si="30"/>
        <v xml:space="preserve"> </v>
      </c>
      <c r="AP24" s="406" t="str">
        <f t="shared" si="30"/>
        <v xml:space="preserve"> </v>
      </c>
      <c r="AQ24" s="406" t="str">
        <f t="shared" si="30"/>
        <v xml:space="preserve"> </v>
      </c>
      <c r="AR24" s="406" t="str">
        <f t="shared" si="30"/>
        <v xml:space="preserve"> </v>
      </c>
      <c r="AS24" s="406" t="str">
        <f t="shared" si="30"/>
        <v xml:space="preserve"> </v>
      </c>
      <c r="AT24" s="406" t="str">
        <f t="shared" si="30"/>
        <v xml:space="preserve"> </v>
      </c>
      <c r="AU24" s="406" t="str">
        <f t="shared" si="30"/>
        <v xml:space="preserve"> </v>
      </c>
      <c r="AV24" s="406" t="str">
        <f t="shared" si="30"/>
        <v xml:space="preserve"> </v>
      </c>
      <c r="AW24" s="406" t="str">
        <f t="shared" si="30"/>
        <v xml:space="preserve"> </v>
      </c>
      <c r="AX24" s="406" t="str">
        <f t="shared" si="30"/>
        <v xml:space="preserve"> </v>
      </c>
      <c r="AY24" s="406" t="str">
        <f t="shared" si="30"/>
        <v xml:space="preserve"> </v>
      </c>
      <c r="AZ24" s="406" t="str">
        <f t="shared" si="30"/>
        <v xml:space="preserve"> </v>
      </c>
      <c r="BA24" s="406" t="str">
        <f t="shared" si="30"/>
        <v xml:space="preserve"> </v>
      </c>
      <c r="BB24" s="406" t="str">
        <f t="shared" si="30"/>
        <v xml:space="preserve"> </v>
      </c>
      <c r="BC24" s="406" t="str">
        <f t="shared" si="30"/>
        <v xml:space="preserve"> </v>
      </c>
      <c r="BD24" s="406" t="str">
        <f t="shared" si="31"/>
        <v xml:space="preserve"> </v>
      </c>
      <c r="BE24" s="406" t="str">
        <f t="shared" si="31"/>
        <v xml:space="preserve"> </v>
      </c>
      <c r="BF24" s="406" t="str">
        <f t="shared" si="31"/>
        <v xml:space="preserve"> </v>
      </c>
      <c r="BG24" s="406" t="str">
        <f t="shared" si="31"/>
        <v xml:space="preserve"> </v>
      </c>
      <c r="BH24" s="406" t="str">
        <f t="shared" si="31"/>
        <v xml:space="preserve"> </v>
      </c>
      <c r="BI24" s="406" t="str">
        <f t="shared" si="31"/>
        <v xml:space="preserve"> </v>
      </c>
      <c r="BJ24" s="406" t="str">
        <f t="shared" si="31"/>
        <v xml:space="preserve"> </v>
      </c>
      <c r="BK24" s="406" t="str">
        <f t="shared" si="31"/>
        <v xml:space="preserve"> </v>
      </c>
      <c r="BL24" s="406" t="str">
        <f t="shared" si="31"/>
        <v xml:space="preserve"> </v>
      </c>
      <c r="BM24" s="406" t="str">
        <f t="shared" si="31"/>
        <v xml:space="preserve"> </v>
      </c>
      <c r="BN24" s="406" t="str">
        <f t="shared" si="31"/>
        <v xml:space="preserve"> </v>
      </c>
      <c r="BO24" s="406" t="str">
        <f t="shared" si="31"/>
        <v xml:space="preserve"> </v>
      </c>
      <c r="BP24" s="406" t="str">
        <f t="shared" si="31"/>
        <v xml:space="preserve"> </v>
      </c>
      <c r="BQ24" s="406" t="str">
        <f t="shared" si="31"/>
        <v xml:space="preserve"> </v>
      </c>
      <c r="BR24" s="406" t="str">
        <f t="shared" si="31"/>
        <v xml:space="preserve"> </v>
      </c>
      <c r="BS24" s="406" t="str">
        <f t="shared" si="31"/>
        <v xml:space="preserve"> </v>
      </c>
      <c r="BT24" s="406" t="str">
        <f t="shared" si="32"/>
        <v xml:space="preserve"> </v>
      </c>
      <c r="BU24" s="406" t="str">
        <f t="shared" si="32"/>
        <v xml:space="preserve"> </v>
      </c>
      <c r="BV24" s="406" t="str">
        <f t="shared" si="32"/>
        <v xml:space="preserve"> </v>
      </c>
      <c r="BW24" s="406" t="str">
        <f t="shared" si="32"/>
        <v xml:space="preserve"> </v>
      </c>
      <c r="BX24" s="406" t="str">
        <f t="shared" si="32"/>
        <v xml:space="preserve"> </v>
      </c>
      <c r="BY24" s="406" t="str">
        <f t="shared" si="32"/>
        <v xml:space="preserve"> </v>
      </c>
      <c r="BZ24" s="406" t="str">
        <f t="shared" si="32"/>
        <v xml:space="preserve"> </v>
      </c>
      <c r="CA24" s="406" t="str">
        <f t="shared" si="32"/>
        <v xml:space="preserve"> </v>
      </c>
      <c r="CB24" s="407" t="str">
        <f t="shared" si="32"/>
        <v xml:space="preserve"> </v>
      </c>
      <c r="CC24" s="407" t="str">
        <f t="shared" si="32"/>
        <v xml:space="preserve"> </v>
      </c>
      <c r="CD24" s="407" t="str">
        <f t="shared" si="32"/>
        <v xml:space="preserve"> </v>
      </c>
      <c r="CE24" s="407" t="str">
        <f t="shared" si="32"/>
        <v xml:space="preserve"> </v>
      </c>
      <c r="CF24" s="407" t="str">
        <f t="shared" si="32"/>
        <v xml:space="preserve"> </v>
      </c>
      <c r="CG24" s="407" t="str">
        <f t="shared" si="32"/>
        <v xml:space="preserve"> </v>
      </c>
      <c r="CH24" s="407" t="str">
        <f t="shared" si="32"/>
        <v xml:space="preserve"> </v>
      </c>
      <c r="CI24" s="407" t="str">
        <f t="shared" si="32"/>
        <v xml:space="preserve"> </v>
      </c>
      <c r="CJ24" s="407" t="str">
        <f t="shared" si="33"/>
        <v xml:space="preserve"> </v>
      </c>
      <c r="CK24" s="407" t="str">
        <f t="shared" si="33"/>
        <v xml:space="preserve"> </v>
      </c>
      <c r="CL24" s="407" t="str">
        <f t="shared" si="33"/>
        <v xml:space="preserve"> </v>
      </c>
      <c r="CM24" s="407" t="str">
        <f t="shared" si="33"/>
        <v xml:space="preserve"> </v>
      </c>
      <c r="CN24" s="407" t="str">
        <f t="shared" si="33"/>
        <v xml:space="preserve"> </v>
      </c>
      <c r="CO24" s="407" t="str">
        <f t="shared" si="33"/>
        <v xml:space="preserve"> </v>
      </c>
      <c r="CP24" s="407" t="str">
        <f t="shared" si="33"/>
        <v xml:space="preserve"> </v>
      </c>
      <c r="CQ24" s="407" t="str">
        <f t="shared" si="33"/>
        <v xml:space="preserve"> </v>
      </c>
      <c r="CR24" s="407" t="str">
        <f t="shared" si="33"/>
        <v xml:space="preserve"> </v>
      </c>
      <c r="CS24" s="407" t="str">
        <f t="shared" si="33"/>
        <v xml:space="preserve"> </v>
      </c>
      <c r="CT24" s="407" t="str">
        <f t="shared" si="33"/>
        <v xml:space="preserve"> </v>
      </c>
      <c r="CU24" s="407" t="str">
        <f t="shared" si="33"/>
        <v xml:space="preserve"> </v>
      </c>
      <c r="CV24" s="407" t="str">
        <f t="shared" si="33"/>
        <v xml:space="preserve"> </v>
      </c>
      <c r="CW24" s="407" t="str">
        <f t="shared" si="33"/>
        <v xml:space="preserve"> </v>
      </c>
      <c r="CX24" s="407" t="str">
        <f t="shared" si="33"/>
        <v xml:space="preserve"> </v>
      </c>
      <c r="CY24" s="407" t="str">
        <f t="shared" si="33"/>
        <v xml:space="preserve"> </v>
      </c>
      <c r="CZ24" s="407" t="str">
        <f t="shared" si="34"/>
        <v xml:space="preserve"> </v>
      </c>
      <c r="DA24" s="407" t="str">
        <f t="shared" si="34"/>
        <v xml:space="preserve"> </v>
      </c>
      <c r="DB24" s="407" t="str">
        <f t="shared" si="34"/>
        <v xml:space="preserve"> </v>
      </c>
      <c r="DC24" s="407" t="str">
        <f t="shared" si="34"/>
        <v xml:space="preserve"> </v>
      </c>
      <c r="DD24" s="407" t="str">
        <f t="shared" si="34"/>
        <v xml:space="preserve"> </v>
      </c>
      <c r="DE24" s="407" t="str">
        <f t="shared" si="34"/>
        <v xml:space="preserve"> </v>
      </c>
      <c r="DF24" s="407" t="str">
        <f t="shared" si="34"/>
        <v xml:space="preserve"> </v>
      </c>
      <c r="DG24" s="407" t="str">
        <f t="shared" si="34"/>
        <v xml:space="preserve"> </v>
      </c>
      <c r="DH24" s="407" t="str">
        <f t="shared" si="34"/>
        <v xml:space="preserve"> </v>
      </c>
      <c r="DI24" s="407" t="str">
        <f t="shared" si="34"/>
        <v xml:space="preserve"> </v>
      </c>
      <c r="DJ24" s="407" t="str">
        <f t="shared" si="34"/>
        <v xml:space="preserve"> </v>
      </c>
      <c r="DK24" s="407" t="str">
        <f t="shared" si="34"/>
        <v xml:space="preserve"> </v>
      </c>
      <c r="DL24" s="407" t="str">
        <f t="shared" si="34"/>
        <v xml:space="preserve"> </v>
      </c>
      <c r="DM24" s="407" t="str">
        <f t="shared" si="34"/>
        <v xml:space="preserve"> </v>
      </c>
      <c r="DN24" s="407" t="str">
        <f t="shared" si="34"/>
        <v xml:space="preserve"> </v>
      </c>
      <c r="DO24" s="407" t="str">
        <f t="shared" si="34"/>
        <v xml:space="preserve"> </v>
      </c>
      <c r="DP24" s="407" t="str">
        <f t="shared" si="34"/>
        <v xml:space="preserve"> </v>
      </c>
      <c r="DQ24" s="407" t="str">
        <f t="shared" si="35"/>
        <v xml:space="preserve"> </v>
      </c>
      <c r="DR24" s="407" t="str">
        <f t="shared" si="35"/>
        <v xml:space="preserve"> </v>
      </c>
      <c r="DS24" s="407" t="str">
        <f t="shared" si="35"/>
        <v xml:space="preserve"> </v>
      </c>
      <c r="DT24" s="407" t="str">
        <f t="shared" si="35"/>
        <v xml:space="preserve"> </v>
      </c>
      <c r="DU24" s="407" t="str">
        <f t="shared" si="35"/>
        <v xml:space="preserve"> </v>
      </c>
      <c r="DV24" s="407" t="str">
        <f t="shared" si="35"/>
        <v xml:space="preserve"> </v>
      </c>
      <c r="DW24" s="407" t="str">
        <f t="shared" si="35"/>
        <v xml:space="preserve"> </v>
      </c>
      <c r="DX24" s="407" t="str">
        <f t="shared" si="35"/>
        <v xml:space="preserve"> </v>
      </c>
      <c r="DY24" s="407" t="str">
        <f t="shared" si="35"/>
        <v xml:space="preserve"> </v>
      </c>
      <c r="DZ24" s="407" t="str">
        <f t="shared" si="35"/>
        <v xml:space="preserve"> </v>
      </c>
      <c r="EA24" s="407" t="str">
        <f t="shared" si="35"/>
        <v xml:space="preserve"> </v>
      </c>
      <c r="EB24" s="407" t="str">
        <f t="shared" si="35"/>
        <v xml:space="preserve"> </v>
      </c>
      <c r="EC24" s="407" t="str">
        <f t="shared" si="35"/>
        <v xml:space="preserve"> </v>
      </c>
      <c r="ED24" s="407" t="str">
        <f t="shared" si="35"/>
        <v xml:space="preserve"> </v>
      </c>
      <c r="EE24" s="407" t="str">
        <f t="shared" si="35"/>
        <v xml:space="preserve"> </v>
      </c>
    </row>
    <row r="25" spans="1:135" s="408" customFormat="1" x14ac:dyDescent="0.25">
      <c r="A25" s="390">
        <v>2</v>
      </c>
      <c r="B25" s="391" t="str">
        <f t="shared" si="25"/>
        <v>2.1</v>
      </c>
      <c r="C25" s="393" t="s">
        <v>825</v>
      </c>
      <c r="D25" s="393"/>
      <c r="E25" s="394"/>
      <c r="F25" s="409"/>
      <c r="G25" s="410"/>
      <c r="H25" s="410"/>
      <c r="I25" s="410"/>
      <c r="J25" s="411">
        <v>45536</v>
      </c>
      <c r="K25" s="412"/>
      <c r="L25" s="413"/>
      <c r="M25" s="411">
        <v>45597</v>
      </c>
      <c r="N25" s="414" t="s">
        <v>864</v>
      </c>
      <c r="O25" s="415">
        <v>0</v>
      </c>
      <c r="P25" s="401">
        <v>3</v>
      </c>
      <c r="Q25" s="402">
        <f t="shared" si="60"/>
        <v>45536</v>
      </c>
      <c r="R25" s="402">
        <f t="shared" si="27"/>
        <v>45597</v>
      </c>
      <c r="S25" s="403">
        <f t="shared" si="28"/>
        <v>43</v>
      </c>
      <c r="T25" s="403">
        <f t="shared" si="36"/>
        <v>62</v>
      </c>
      <c r="U25" s="404"/>
      <c r="V25" s="404"/>
      <c r="W25" s="405"/>
      <c r="X25" s="406" t="str">
        <f t="shared" si="29"/>
        <v xml:space="preserve"> </v>
      </c>
      <c r="Y25" s="406" t="str">
        <f t="shared" si="29"/>
        <v xml:space="preserve"> </v>
      </c>
      <c r="Z25" s="406" t="str">
        <f t="shared" si="29"/>
        <v xml:space="preserve"> </v>
      </c>
      <c r="AA25" s="406" t="str">
        <f t="shared" si="29"/>
        <v xml:space="preserve"> </v>
      </c>
      <c r="AB25" s="406" t="str">
        <f t="shared" si="29"/>
        <v xml:space="preserve"> </v>
      </c>
      <c r="AC25" s="406" t="str">
        <f t="shared" si="29"/>
        <v xml:space="preserve"> </v>
      </c>
      <c r="AD25" s="406" t="str">
        <f t="shared" si="29"/>
        <v xml:space="preserve"> </v>
      </c>
      <c r="AE25" s="406" t="str">
        <f t="shared" si="29"/>
        <v xml:space="preserve"> </v>
      </c>
      <c r="AF25" s="406" t="str">
        <f t="shared" si="29"/>
        <v xml:space="preserve"> </v>
      </c>
      <c r="AG25" s="406" t="str">
        <f t="shared" si="29"/>
        <v xml:space="preserve"> </v>
      </c>
      <c r="AH25" s="406" t="str">
        <f t="shared" si="29"/>
        <v xml:space="preserve"> </v>
      </c>
      <c r="AI25" s="406" t="str">
        <f t="shared" si="29"/>
        <v xml:space="preserve"> </v>
      </c>
      <c r="AJ25" s="406" t="str">
        <f t="shared" si="29"/>
        <v xml:space="preserve"> </v>
      </c>
      <c r="AK25" s="406" t="str">
        <f t="shared" si="29"/>
        <v xml:space="preserve"> </v>
      </c>
      <c r="AL25" s="406" t="str">
        <f t="shared" si="29"/>
        <v xml:space="preserve"> </v>
      </c>
      <c r="AM25" s="406" t="str">
        <f t="shared" si="29"/>
        <v xml:space="preserve"> </v>
      </c>
      <c r="AN25" s="406" t="str">
        <f t="shared" si="30"/>
        <v xml:space="preserve"> </v>
      </c>
      <c r="AO25" s="406" t="str">
        <f t="shared" si="30"/>
        <v xml:space="preserve"> </v>
      </c>
      <c r="AP25" s="406" t="str">
        <f t="shared" si="30"/>
        <v xml:space="preserve"> </v>
      </c>
      <c r="AQ25" s="406" t="str">
        <f t="shared" si="30"/>
        <v xml:space="preserve"> </v>
      </c>
      <c r="AR25" s="406" t="str">
        <f t="shared" si="30"/>
        <v xml:space="preserve"> </v>
      </c>
      <c r="AS25" s="406" t="str">
        <f t="shared" si="30"/>
        <v xml:space="preserve"> </v>
      </c>
      <c r="AT25" s="406" t="str">
        <f t="shared" si="30"/>
        <v xml:space="preserve"> </v>
      </c>
      <c r="AU25" s="406" t="str">
        <f t="shared" si="30"/>
        <v xml:space="preserve"> </v>
      </c>
      <c r="AV25" s="406" t="str">
        <f t="shared" si="30"/>
        <v xml:space="preserve"> </v>
      </c>
      <c r="AW25" s="406" t="str">
        <f t="shared" si="30"/>
        <v xml:space="preserve"> </v>
      </c>
      <c r="AX25" s="406" t="str">
        <f t="shared" si="30"/>
        <v xml:space="preserve"> </v>
      </c>
      <c r="AY25" s="406" t="str">
        <f t="shared" si="30"/>
        <v xml:space="preserve"> </v>
      </c>
      <c r="AZ25" s="406" t="str">
        <f t="shared" si="30"/>
        <v xml:space="preserve"> </v>
      </c>
      <c r="BA25" s="406" t="str">
        <f t="shared" si="30"/>
        <v xml:space="preserve"> </v>
      </c>
      <c r="BB25" s="406" t="str">
        <f t="shared" si="30"/>
        <v xml:space="preserve"> </v>
      </c>
      <c r="BC25" s="406" t="str">
        <f t="shared" si="30"/>
        <v xml:space="preserve"> </v>
      </c>
      <c r="BD25" s="406" t="str">
        <f t="shared" si="31"/>
        <v xml:space="preserve"> </v>
      </c>
      <c r="BE25" s="406" t="str">
        <f t="shared" si="31"/>
        <v xml:space="preserve"> </v>
      </c>
      <c r="BF25" s="406" t="str">
        <f t="shared" si="31"/>
        <v xml:space="preserve"> </v>
      </c>
      <c r="BG25" s="406" t="str">
        <f t="shared" si="31"/>
        <v xml:space="preserve"> </v>
      </c>
      <c r="BH25" s="406" t="str">
        <f t="shared" si="31"/>
        <v xml:space="preserve"> </v>
      </c>
      <c r="BI25" s="406" t="str">
        <f t="shared" si="31"/>
        <v xml:space="preserve"> </v>
      </c>
      <c r="BJ25" s="406" t="str">
        <f t="shared" si="31"/>
        <v xml:space="preserve"> </v>
      </c>
      <c r="BK25" s="406" t="str">
        <f t="shared" si="31"/>
        <v xml:space="preserve"> </v>
      </c>
      <c r="BL25" s="406" t="str">
        <f t="shared" si="31"/>
        <v xml:space="preserve"> </v>
      </c>
      <c r="BM25" s="406" t="str">
        <f t="shared" si="31"/>
        <v xml:space="preserve"> </v>
      </c>
      <c r="BN25" s="406" t="str">
        <f t="shared" si="31"/>
        <v xml:space="preserve"> </v>
      </c>
      <c r="BO25" s="406" t="str">
        <f t="shared" si="31"/>
        <v xml:space="preserve"> </v>
      </c>
      <c r="BP25" s="406" t="str">
        <f t="shared" si="31"/>
        <v xml:space="preserve"> </v>
      </c>
      <c r="BQ25" s="406" t="str">
        <f t="shared" si="31"/>
        <v xml:space="preserve"> </v>
      </c>
      <c r="BR25" s="406" t="str">
        <f t="shared" si="31"/>
        <v xml:space="preserve"> </v>
      </c>
      <c r="BS25" s="406" t="str">
        <f t="shared" si="31"/>
        <v xml:space="preserve"> </v>
      </c>
      <c r="BT25" s="406" t="str">
        <f t="shared" si="32"/>
        <v xml:space="preserve"> </v>
      </c>
      <c r="BU25" s="406" t="str">
        <f t="shared" si="32"/>
        <v xml:space="preserve"> </v>
      </c>
      <c r="BV25" s="406" t="str">
        <f t="shared" si="32"/>
        <v xml:space="preserve"> </v>
      </c>
      <c r="BW25" s="406" t="str">
        <f t="shared" si="32"/>
        <v xml:space="preserve"> </v>
      </c>
      <c r="BX25" s="406" t="str">
        <f t="shared" si="32"/>
        <v xml:space="preserve"> </v>
      </c>
      <c r="BY25" s="406" t="str">
        <f t="shared" si="32"/>
        <v xml:space="preserve"> </v>
      </c>
      <c r="BZ25" s="406" t="str">
        <f t="shared" si="32"/>
        <v xml:space="preserve"> </v>
      </c>
      <c r="CA25" s="406" t="str">
        <f t="shared" si="32"/>
        <v xml:space="preserve"> </v>
      </c>
      <c r="CB25" s="407" t="str">
        <f t="shared" si="32"/>
        <v xml:space="preserve"> </v>
      </c>
      <c r="CC25" s="407" t="str">
        <f t="shared" si="32"/>
        <v xml:space="preserve"> </v>
      </c>
      <c r="CD25" s="407" t="str">
        <f t="shared" si="32"/>
        <v xml:space="preserve"> </v>
      </c>
      <c r="CE25" s="407" t="str">
        <f t="shared" si="32"/>
        <v xml:space="preserve"> </v>
      </c>
      <c r="CF25" s="407" t="str">
        <f t="shared" si="32"/>
        <v xml:space="preserve"> </v>
      </c>
      <c r="CG25" s="407" t="str">
        <f t="shared" si="32"/>
        <v xml:space="preserve"> </v>
      </c>
      <c r="CH25" s="407" t="str">
        <f t="shared" si="32"/>
        <v xml:space="preserve"> </v>
      </c>
      <c r="CI25" s="407" t="str">
        <f t="shared" si="32"/>
        <v xml:space="preserve"> </v>
      </c>
      <c r="CJ25" s="407" t="str">
        <f t="shared" si="33"/>
        <v xml:space="preserve"> </v>
      </c>
      <c r="CK25" s="407" t="str">
        <f t="shared" si="33"/>
        <v xml:space="preserve"> </v>
      </c>
      <c r="CL25" s="407" t="str">
        <f t="shared" si="33"/>
        <v xml:space="preserve"> </v>
      </c>
      <c r="CM25" s="407" t="str">
        <f t="shared" si="33"/>
        <v xml:space="preserve"> </v>
      </c>
      <c r="CN25" s="407" t="str">
        <f t="shared" si="33"/>
        <v xml:space="preserve"> </v>
      </c>
      <c r="CO25" s="407" t="str">
        <f t="shared" si="33"/>
        <v xml:space="preserve"> </v>
      </c>
      <c r="CP25" s="407" t="str">
        <f t="shared" si="33"/>
        <v xml:space="preserve"> </v>
      </c>
      <c r="CQ25" s="407" t="str">
        <f t="shared" si="33"/>
        <v xml:space="preserve"> </v>
      </c>
      <c r="CR25" s="407" t="str">
        <f t="shared" si="33"/>
        <v xml:space="preserve"> </v>
      </c>
      <c r="CS25" s="407" t="str">
        <f t="shared" si="33"/>
        <v xml:space="preserve"> </v>
      </c>
      <c r="CT25" s="407" t="str">
        <f t="shared" si="33"/>
        <v xml:space="preserve"> </v>
      </c>
      <c r="CU25" s="407" t="str">
        <f t="shared" si="33"/>
        <v xml:space="preserve"> </v>
      </c>
      <c r="CV25" s="407" t="str">
        <f t="shared" si="33"/>
        <v xml:space="preserve"> </v>
      </c>
      <c r="CW25" s="407" t="str">
        <f t="shared" si="33"/>
        <v xml:space="preserve"> </v>
      </c>
      <c r="CX25" s="407" t="str">
        <f t="shared" si="33"/>
        <v xml:space="preserve"> </v>
      </c>
      <c r="CY25" s="407" t="str">
        <f t="shared" si="33"/>
        <v xml:space="preserve"> </v>
      </c>
      <c r="CZ25" s="407" t="str">
        <f t="shared" si="34"/>
        <v xml:space="preserve"> </v>
      </c>
      <c r="DA25" s="407" t="str">
        <f t="shared" si="34"/>
        <v xml:space="preserve"> </v>
      </c>
      <c r="DB25" s="407" t="str">
        <f t="shared" si="34"/>
        <v xml:space="preserve"> </v>
      </c>
      <c r="DC25" s="407" t="str">
        <f t="shared" si="34"/>
        <v xml:space="preserve"> </v>
      </c>
      <c r="DD25" s="407" t="str">
        <f t="shared" si="34"/>
        <v xml:space="preserve"> </v>
      </c>
      <c r="DE25" s="407" t="str">
        <f t="shared" si="34"/>
        <v xml:space="preserve"> </v>
      </c>
      <c r="DF25" s="407" t="str">
        <f t="shared" si="34"/>
        <v xml:space="preserve"> </v>
      </c>
      <c r="DG25" s="407" t="str">
        <f t="shared" si="34"/>
        <v xml:space="preserve"> </v>
      </c>
      <c r="DH25" s="407" t="str">
        <f t="shared" si="34"/>
        <v xml:space="preserve"> </v>
      </c>
      <c r="DI25" s="407" t="str">
        <f t="shared" si="34"/>
        <v xml:space="preserve"> </v>
      </c>
      <c r="DJ25" s="407" t="str">
        <f t="shared" si="34"/>
        <v xml:space="preserve"> </v>
      </c>
      <c r="DK25" s="407" t="str">
        <f t="shared" si="34"/>
        <v xml:space="preserve"> </v>
      </c>
      <c r="DL25" s="407" t="str">
        <f t="shared" si="34"/>
        <v xml:space="preserve"> </v>
      </c>
      <c r="DM25" s="407" t="str">
        <f t="shared" si="34"/>
        <v xml:space="preserve"> </v>
      </c>
      <c r="DN25" s="407" t="str">
        <f t="shared" si="34"/>
        <v xml:space="preserve"> </v>
      </c>
      <c r="DO25" s="407" t="str">
        <f t="shared" si="34"/>
        <v xml:space="preserve"> </v>
      </c>
      <c r="DP25" s="407" t="str">
        <f t="shared" si="34"/>
        <v xml:space="preserve"> </v>
      </c>
      <c r="DQ25" s="407" t="str">
        <f t="shared" si="35"/>
        <v xml:space="preserve"> </v>
      </c>
      <c r="DR25" s="407" t="str">
        <f t="shared" si="35"/>
        <v xml:space="preserve"> </v>
      </c>
      <c r="DS25" s="407" t="str">
        <f t="shared" si="35"/>
        <v xml:space="preserve"> </v>
      </c>
      <c r="DT25" s="407" t="str">
        <f t="shared" si="35"/>
        <v xml:space="preserve"> </v>
      </c>
      <c r="DU25" s="407" t="str">
        <f t="shared" si="35"/>
        <v xml:space="preserve"> </v>
      </c>
      <c r="DV25" s="407" t="str">
        <f t="shared" si="35"/>
        <v xml:space="preserve"> </v>
      </c>
      <c r="DW25" s="407" t="str">
        <f t="shared" si="35"/>
        <v xml:space="preserve"> </v>
      </c>
      <c r="DX25" s="407" t="str">
        <f t="shared" si="35"/>
        <v xml:space="preserve"> </v>
      </c>
      <c r="DY25" s="407" t="str">
        <f t="shared" si="35"/>
        <v xml:space="preserve"> </v>
      </c>
      <c r="DZ25" s="407" t="str">
        <f t="shared" si="35"/>
        <v xml:space="preserve"> </v>
      </c>
      <c r="EA25" s="407" t="str">
        <f t="shared" si="35"/>
        <v xml:space="preserve"> </v>
      </c>
      <c r="EB25" s="407" t="str">
        <f t="shared" si="35"/>
        <v xml:space="preserve"> </v>
      </c>
      <c r="EC25" s="407" t="str">
        <f t="shared" si="35"/>
        <v xml:space="preserve"> </v>
      </c>
      <c r="ED25" s="407" t="str">
        <f t="shared" si="35"/>
        <v xml:space="preserve"> </v>
      </c>
      <c r="EE25" s="407" t="str">
        <f t="shared" si="35"/>
        <v xml:space="preserve"> </v>
      </c>
    </row>
    <row r="26" spans="1:135" s="408" customFormat="1" x14ac:dyDescent="0.25">
      <c r="A26" s="390">
        <v>2</v>
      </c>
      <c r="B26" s="391" t="str">
        <f t="shared" si="25"/>
        <v>2.2</v>
      </c>
      <c r="C26" s="393" t="s">
        <v>911</v>
      </c>
      <c r="D26" s="393"/>
      <c r="E26" s="394"/>
      <c r="F26" s="409"/>
      <c r="G26" s="410"/>
      <c r="H26" s="410"/>
      <c r="I26" s="410"/>
      <c r="J26" s="411">
        <v>45536</v>
      </c>
      <c r="K26" s="412"/>
      <c r="L26" s="413"/>
      <c r="M26" s="411">
        <v>45566</v>
      </c>
      <c r="N26" s="414" t="s">
        <v>865</v>
      </c>
      <c r="O26" s="415">
        <v>0</v>
      </c>
      <c r="P26" s="401" t="s">
        <v>866</v>
      </c>
      <c r="Q26" s="402">
        <f t="shared" si="60"/>
        <v>45536</v>
      </c>
      <c r="R26" s="402">
        <f t="shared" si="27"/>
        <v>45566</v>
      </c>
      <c r="S26" s="403">
        <f t="shared" si="28"/>
        <v>21</v>
      </c>
      <c r="T26" s="403">
        <f t="shared" si="36"/>
        <v>31</v>
      </c>
      <c r="U26" s="404"/>
      <c r="V26" s="404"/>
      <c r="W26" s="405"/>
      <c r="X26" s="406" t="str">
        <f t="shared" si="29"/>
        <v xml:space="preserve"> </v>
      </c>
      <c r="Y26" s="406" t="str">
        <f t="shared" si="29"/>
        <v xml:space="preserve"> </v>
      </c>
      <c r="Z26" s="406" t="str">
        <f t="shared" si="29"/>
        <v xml:space="preserve"> </v>
      </c>
      <c r="AA26" s="406" t="str">
        <f t="shared" si="29"/>
        <v xml:space="preserve"> </v>
      </c>
      <c r="AB26" s="406" t="str">
        <f t="shared" si="29"/>
        <v xml:space="preserve"> </v>
      </c>
      <c r="AC26" s="406" t="str">
        <f t="shared" si="29"/>
        <v xml:space="preserve"> </v>
      </c>
      <c r="AD26" s="406" t="str">
        <f t="shared" si="29"/>
        <v xml:space="preserve"> </v>
      </c>
      <c r="AE26" s="406" t="str">
        <f t="shared" si="29"/>
        <v xml:space="preserve"> </v>
      </c>
      <c r="AF26" s="406" t="str">
        <f t="shared" si="29"/>
        <v xml:space="preserve"> </v>
      </c>
      <c r="AG26" s="406" t="str">
        <f t="shared" si="29"/>
        <v xml:space="preserve"> </v>
      </c>
      <c r="AH26" s="406" t="str">
        <f t="shared" si="29"/>
        <v xml:space="preserve"> </v>
      </c>
      <c r="AI26" s="406" t="str">
        <f t="shared" si="29"/>
        <v xml:space="preserve"> </v>
      </c>
      <c r="AJ26" s="406" t="str">
        <f t="shared" si="29"/>
        <v xml:space="preserve"> </v>
      </c>
      <c r="AK26" s="406" t="str">
        <f t="shared" si="29"/>
        <v xml:space="preserve"> </v>
      </c>
      <c r="AL26" s="406" t="str">
        <f t="shared" si="29"/>
        <v xml:space="preserve"> </v>
      </c>
      <c r="AM26" s="406" t="str">
        <f t="shared" si="29"/>
        <v xml:space="preserve"> </v>
      </c>
      <c r="AN26" s="406" t="str">
        <f t="shared" si="30"/>
        <v xml:space="preserve"> </v>
      </c>
      <c r="AO26" s="406" t="str">
        <f t="shared" si="30"/>
        <v xml:space="preserve"> </v>
      </c>
      <c r="AP26" s="406" t="str">
        <f t="shared" si="30"/>
        <v xml:space="preserve"> </v>
      </c>
      <c r="AQ26" s="406" t="str">
        <f t="shared" si="30"/>
        <v xml:space="preserve"> </v>
      </c>
      <c r="AR26" s="406" t="str">
        <f t="shared" si="30"/>
        <v xml:space="preserve"> </v>
      </c>
      <c r="AS26" s="406" t="str">
        <f t="shared" si="30"/>
        <v xml:space="preserve"> </v>
      </c>
      <c r="AT26" s="406" t="str">
        <f t="shared" si="30"/>
        <v xml:space="preserve"> </v>
      </c>
      <c r="AU26" s="406" t="str">
        <f t="shared" si="30"/>
        <v xml:space="preserve"> </v>
      </c>
      <c r="AV26" s="406" t="str">
        <f t="shared" si="30"/>
        <v xml:space="preserve"> </v>
      </c>
      <c r="AW26" s="406" t="str">
        <f t="shared" si="30"/>
        <v xml:space="preserve"> </v>
      </c>
      <c r="AX26" s="406" t="str">
        <f t="shared" si="30"/>
        <v xml:space="preserve"> </v>
      </c>
      <c r="AY26" s="406" t="str">
        <f t="shared" si="30"/>
        <v xml:space="preserve"> </v>
      </c>
      <c r="AZ26" s="406" t="str">
        <f t="shared" si="30"/>
        <v xml:space="preserve"> </v>
      </c>
      <c r="BA26" s="406" t="str">
        <f t="shared" si="30"/>
        <v xml:space="preserve"> </v>
      </c>
      <c r="BB26" s="406" t="str">
        <f t="shared" si="30"/>
        <v xml:space="preserve"> </v>
      </c>
      <c r="BC26" s="406" t="str">
        <f t="shared" si="30"/>
        <v xml:space="preserve"> </v>
      </c>
      <c r="BD26" s="406" t="str">
        <f t="shared" si="31"/>
        <v xml:space="preserve"> </v>
      </c>
      <c r="BE26" s="406" t="str">
        <f t="shared" si="31"/>
        <v xml:space="preserve"> </v>
      </c>
      <c r="BF26" s="406" t="str">
        <f t="shared" si="31"/>
        <v xml:space="preserve"> </v>
      </c>
      <c r="BG26" s="406" t="str">
        <f t="shared" si="31"/>
        <v xml:space="preserve"> </v>
      </c>
      <c r="BH26" s="406" t="str">
        <f t="shared" si="31"/>
        <v xml:space="preserve"> </v>
      </c>
      <c r="BI26" s="406" t="str">
        <f t="shared" si="31"/>
        <v xml:space="preserve"> </v>
      </c>
      <c r="BJ26" s="406" t="str">
        <f t="shared" si="31"/>
        <v xml:space="preserve"> </v>
      </c>
      <c r="BK26" s="406" t="str">
        <f t="shared" si="31"/>
        <v xml:space="preserve"> </v>
      </c>
      <c r="BL26" s="406" t="str">
        <f t="shared" si="31"/>
        <v xml:space="preserve"> </v>
      </c>
      <c r="BM26" s="406" t="str">
        <f t="shared" si="31"/>
        <v xml:space="preserve"> </v>
      </c>
      <c r="BN26" s="406" t="str">
        <f t="shared" si="31"/>
        <v xml:space="preserve"> </v>
      </c>
      <c r="BO26" s="406" t="str">
        <f t="shared" si="31"/>
        <v xml:space="preserve"> </v>
      </c>
      <c r="BP26" s="406" t="str">
        <f t="shared" si="31"/>
        <v xml:space="preserve"> </v>
      </c>
      <c r="BQ26" s="406" t="str">
        <f t="shared" si="31"/>
        <v xml:space="preserve"> </v>
      </c>
      <c r="BR26" s="406" t="str">
        <f t="shared" si="31"/>
        <v xml:space="preserve"> </v>
      </c>
      <c r="BS26" s="406" t="str">
        <f t="shared" si="31"/>
        <v xml:space="preserve"> </v>
      </c>
      <c r="BT26" s="406" t="str">
        <f t="shared" si="32"/>
        <v xml:space="preserve"> </v>
      </c>
      <c r="BU26" s="406" t="str">
        <f t="shared" si="32"/>
        <v xml:space="preserve"> </v>
      </c>
      <c r="BV26" s="406" t="str">
        <f t="shared" si="32"/>
        <v xml:space="preserve"> </v>
      </c>
      <c r="BW26" s="406" t="str">
        <f t="shared" si="32"/>
        <v xml:space="preserve"> </v>
      </c>
      <c r="BX26" s="406" t="str">
        <f t="shared" si="32"/>
        <v xml:space="preserve"> </v>
      </c>
      <c r="BY26" s="406" t="str">
        <f t="shared" si="32"/>
        <v xml:space="preserve"> </v>
      </c>
      <c r="BZ26" s="406" t="str">
        <f t="shared" si="32"/>
        <v xml:space="preserve"> </v>
      </c>
      <c r="CA26" s="406" t="str">
        <f t="shared" si="32"/>
        <v xml:space="preserve"> </v>
      </c>
      <c r="CB26" s="407" t="str">
        <f t="shared" si="32"/>
        <v xml:space="preserve"> </v>
      </c>
      <c r="CC26" s="407" t="str">
        <f t="shared" si="32"/>
        <v xml:space="preserve"> </v>
      </c>
      <c r="CD26" s="407" t="str">
        <f t="shared" si="32"/>
        <v xml:space="preserve"> </v>
      </c>
      <c r="CE26" s="407" t="str">
        <f t="shared" si="32"/>
        <v xml:space="preserve"> </v>
      </c>
      <c r="CF26" s="407" t="str">
        <f t="shared" si="32"/>
        <v xml:space="preserve"> </v>
      </c>
      <c r="CG26" s="407" t="str">
        <f t="shared" si="32"/>
        <v xml:space="preserve"> </v>
      </c>
      <c r="CH26" s="407" t="str">
        <f t="shared" si="32"/>
        <v xml:space="preserve"> </v>
      </c>
      <c r="CI26" s="407" t="str">
        <f t="shared" si="32"/>
        <v xml:space="preserve"> </v>
      </c>
      <c r="CJ26" s="407" t="str">
        <f t="shared" si="33"/>
        <v xml:space="preserve"> </v>
      </c>
      <c r="CK26" s="407" t="str">
        <f t="shared" si="33"/>
        <v xml:space="preserve"> </v>
      </c>
      <c r="CL26" s="407" t="str">
        <f t="shared" si="33"/>
        <v xml:space="preserve"> </v>
      </c>
      <c r="CM26" s="407" t="str">
        <f t="shared" si="33"/>
        <v xml:space="preserve"> </v>
      </c>
      <c r="CN26" s="407" t="str">
        <f t="shared" si="33"/>
        <v xml:space="preserve"> </v>
      </c>
      <c r="CO26" s="407" t="str">
        <f t="shared" si="33"/>
        <v xml:space="preserve"> </v>
      </c>
      <c r="CP26" s="407" t="str">
        <f t="shared" si="33"/>
        <v xml:space="preserve"> </v>
      </c>
      <c r="CQ26" s="407" t="str">
        <f t="shared" si="33"/>
        <v xml:space="preserve"> </v>
      </c>
      <c r="CR26" s="407" t="str">
        <f t="shared" si="33"/>
        <v xml:space="preserve"> </v>
      </c>
      <c r="CS26" s="407" t="str">
        <f t="shared" si="33"/>
        <v xml:space="preserve"> </v>
      </c>
      <c r="CT26" s="407" t="str">
        <f t="shared" si="33"/>
        <v xml:space="preserve"> </v>
      </c>
      <c r="CU26" s="407" t="str">
        <f t="shared" si="33"/>
        <v xml:space="preserve"> </v>
      </c>
      <c r="CV26" s="407" t="str">
        <f t="shared" si="33"/>
        <v xml:space="preserve"> </v>
      </c>
      <c r="CW26" s="407" t="str">
        <f t="shared" si="33"/>
        <v xml:space="preserve"> </v>
      </c>
      <c r="CX26" s="407" t="str">
        <f t="shared" si="33"/>
        <v xml:space="preserve"> </v>
      </c>
      <c r="CY26" s="407" t="str">
        <f t="shared" si="33"/>
        <v xml:space="preserve"> </v>
      </c>
      <c r="CZ26" s="407" t="str">
        <f t="shared" si="34"/>
        <v xml:space="preserve"> </v>
      </c>
      <c r="DA26" s="407" t="str">
        <f t="shared" si="34"/>
        <v xml:space="preserve"> </v>
      </c>
      <c r="DB26" s="407" t="str">
        <f t="shared" si="34"/>
        <v xml:space="preserve"> </v>
      </c>
      <c r="DC26" s="407" t="str">
        <f t="shared" si="34"/>
        <v xml:space="preserve"> </v>
      </c>
      <c r="DD26" s="407" t="str">
        <f t="shared" si="34"/>
        <v xml:space="preserve"> </v>
      </c>
      <c r="DE26" s="407" t="str">
        <f t="shared" si="34"/>
        <v xml:space="preserve"> </v>
      </c>
      <c r="DF26" s="407" t="str">
        <f t="shared" si="34"/>
        <v xml:space="preserve"> </v>
      </c>
      <c r="DG26" s="407" t="str">
        <f t="shared" si="34"/>
        <v xml:space="preserve"> </v>
      </c>
      <c r="DH26" s="407" t="str">
        <f t="shared" si="34"/>
        <v xml:space="preserve"> </v>
      </c>
      <c r="DI26" s="407" t="str">
        <f t="shared" si="34"/>
        <v xml:space="preserve"> </v>
      </c>
      <c r="DJ26" s="407" t="str">
        <f t="shared" si="34"/>
        <v xml:space="preserve"> </v>
      </c>
      <c r="DK26" s="407" t="str">
        <f t="shared" si="34"/>
        <v xml:space="preserve"> </v>
      </c>
      <c r="DL26" s="407" t="str">
        <f t="shared" si="34"/>
        <v xml:space="preserve"> </v>
      </c>
      <c r="DM26" s="407" t="str">
        <f t="shared" si="34"/>
        <v xml:space="preserve"> </v>
      </c>
      <c r="DN26" s="407" t="str">
        <f t="shared" si="34"/>
        <v xml:space="preserve"> </v>
      </c>
      <c r="DO26" s="407" t="str">
        <f t="shared" si="34"/>
        <v xml:space="preserve"> </v>
      </c>
      <c r="DP26" s="407" t="str">
        <f t="shared" si="34"/>
        <v xml:space="preserve"> </v>
      </c>
      <c r="DQ26" s="407" t="str">
        <f t="shared" si="35"/>
        <v xml:space="preserve"> </v>
      </c>
      <c r="DR26" s="407" t="str">
        <f t="shared" si="35"/>
        <v xml:space="preserve"> </v>
      </c>
      <c r="DS26" s="407" t="str">
        <f t="shared" si="35"/>
        <v xml:space="preserve"> </v>
      </c>
      <c r="DT26" s="407" t="str">
        <f t="shared" si="35"/>
        <v xml:space="preserve"> </v>
      </c>
      <c r="DU26" s="407" t="str">
        <f t="shared" si="35"/>
        <v xml:space="preserve"> </v>
      </c>
      <c r="DV26" s="407" t="str">
        <f t="shared" si="35"/>
        <v xml:space="preserve"> </v>
      </c>
      <c r="DW26" s="407" t="str">
        <f t="shared" si="35"/>
        <v xml:space="preserve"> </v>
      </c>
      <c r="DX26" s="407" t="str">
        <f t="shared" si="35"/>
        <v xml:space="preserve"> </v>
      </c>
      <c r="DY26" s="407" t="str">
        <f t="shared" si="35"/>
        <v xml:space="preserve"> </v>
      </c>
      <c r="DZ26" s="407" t="str">
        <f t="shared" si="35"/>
        <v xml:space="preserve"> </v>
      </c>
      <c r="EA26" s="407" t="str">
        <f t="shared" si="35"/>
        <v xml:space="preserve"> </v>
      </c>
      <c r="EB26" s="407" t="str">
        <f t="shared" si="35"/>
        <v xml:space="preserve"> </v>
      </c>
      <c r="EC26" s="407" t="str">
        <f t="shared" si="35"/>
        <v xml:space="preserve"> </v>
      </c>
      <c r="ED26" s="407" t="str">
        <f t="shared" si="35"/>
        <v xml:space="preserve"> </v>
      </c>
      <c r="EE26" s="407" t="str">
        <f t="shared" si="35"/>
        <v xml:space="preserve"> </v>
      </c>
    </row>
    <row r="27" spans="1:135" s="408" customFormat="1" x14ac:dyDescent="0.25">
      <c r="A27" s="390">
        <v>3</v>
      </c>
      <c r="B27" s="391" t="str">
        <f t="shared" ref="B27" si="61">IF(A27="","-",IF(A27&gt;prevLevel,IF(OR(prevWBS="",prevWBS="-"),"1",prevWBS)&amp;REPT(".1",A27-MAX(prevLevel,1)),IF(ISERROR(FIND(".",prevWBS)),REPT("1.",A27-1)&amp;IFERROR(VALUE(prevWBS)+1,"1"),IF(A27=1,"",IFERROR(LEFT(prevWBS,FIND("^",SUBSTITUTE(prevWBS,".","^",A27-1))),""))&amp;VALUE(TRIM(MID(SUBSTITUTE(prevWBS,".",REPT(" ",LEN(prevWBS))),(A27-1)*LEN(prevWBS)+1,LEN(prevWBS))))+1)))</f>
        <v>2.2.1</v>
      </c>
      <c r="C27" s="393" t="s">
        <v>912</v>
      </c>
      <c r="D27" s="393"/>
      <c r="E27" s="394"/>
      <c r="F27" s="409"/>
      <c r="G27" s="410"/>
      <c r="H27" s="410"/>
      <c r="I27" s="410"/>
      <c r="J27" s="411">
        <v>45536</v>
      </c>
      <c r="K27" s="412"/>
      <c r="L27" s="413"/>
      <c r="M27" s="411">
        <v>45566</v>
      </c>
      <c r="N27" s="414" t="s">
        <v>865</v>
      </c>
      <c r="O27" s="415">
        <v>0.2</v>
      </c>
      <c r="P27" s="401">
        <v>3</v>
      </c>
      <c r="Q27" s="402">
        <f t="shared" si="60"/>
        <v>45536</v>
      </c>
      <c r="R27" s="402">
        <f t="shared" ref="R27" si="62">IF(Q27=" - "," - ",MAX(M27,IF(L27&lt;&gt;"",Q27+MAX(0,L27-1),WORKDAY.INTL(IF(NETWORKDAYS.INTL(Q27,Q27,weekend,holidays)=0,WORKDAY.INTL(Q27,1,weekend,holidays),Q27),MAX(0,K27-1),weekend,holidays))))</f>
        <v>45566</v>
      </c>
      <c r="S27" s="403">
        <f t="shared" ref="S27" si="63">IF(OR(NOT(ISNUMBER(Q27)),NOT(ISNUMBER(R27)))," - ",NETWORKDAYS.INTL(Q27,R27,weekend,holidays))</f>
        <v>21</v>
      </c>
      <c r="T27" s="403">
        <f t="shared" ref="T27" si="64">IF(OR(NOT(ISNUMBER(Q27)),NOT(ISNUMBER(R27)))," - ",R27-Q27+1)</f>
        <v>31</v>
      </c>
      <c r="U27" s="404"/>
      <c r="V27" s="404"/>
      <c r="W27" s="405"/>
      <c r="X27" s="406" t="str">
        <f t="shared" ref="X27:CI27" si="65">" "</f>
        <v xml:space="preserve"> </v>
      </c>
      <c r="Y27" s="406" t="str">
        <f t="shared" si="65"/>
        <v xml:space="preserve"> </v>
      </c>
      <c r="Z27" s="406" t="str">
        <f t="shared" si="65"/>
        <v xml:space="preserve"> </v>
      </c>
      <c r="AA27" s="406" t="str">
        <f t="shared" si="65"/>
        <v xml:space="preserve"> </v>
      </c>
      <c r="AB27" s="406" t="str">
        <f t="shared" si="65"/>
        <v xml:space="preserve"> </v>
      </c>
      <c r="AC27" s="406" t="str">
        <f t="shared" si="65"/>
        <v xml:space="preserve"> </v>
      </c>
      <c r="AD27" s="406" t="str">
        <f t="shared" si="65"/>
        <v xml:space="preserve"> </v>
      </c>
      <c r="AE27" s="406" t="str">
        <f t="shared" si="65"/>
        <v xml:space="preserve"> </v>
      </c>
      <c r="AF27" s="406" t="str">
        <f t="shared" si="65"/>
        <v xml:space="preserve"> </v>
      </c>
      <c r="AG27" s="406" t="str">
        <f t="shared" si="65"/>
        <v xml:space="preserve"> </v>
      </c>
      <c r="AH27" s="406" t="str">
        <f t="shared" si="65"/>
        <v xml:space="preserve"> </v>
      </c>
      <c r="AI27" s="406" t="str">
        <f t="shared" si="65"/>
        <v xml:space="preserve"> </v>
      </c>
      <c r="AJ27" s="406" t="str">
        <f t="shared" si="65"/>
        <v xml:space="preserve"> </v>
      </c>
      <c r="AK27" s="406" t="str">
        <f t="shared" si="65"/>
        <v xml:space="preserve"> </v>
      </c>
      <c r="AL27" s="406" t="str">
        <f t="shared" si="65"/>
        <v xml:space="preserve"> </v>
      </c>
      <c r="AM27" s="406" t="str">
        <f t="shared" si="65"/>
        <v xml:space="preserve"> </v>
      </c>
      <c r="AN27" s="406" t="str">
        <f t="shared" si="65"/>
        <v xml:space="preserve"> </v>
      </c>
      <c r="AO27" s="406" t="str">
        <f t="shared" si="65"/>
        <v xml:space="preserve"> </v>
      </c>
      <c r="AP27" s="406" t="str">
        <f t="shared" si="65"/>
        <v xml:space="preserve"> </v>
      </c>
      <c r="AQ27" s="406" t="str">
        <f t="shared" si="65"/>
        <v xml:space="preserve"> </v>
      </c>
      <c r="AR27" s="406" t="str">
        <f t="shared" si="65"/>
        <v xml:space="preserve"> </v>
      </c>
      <c r="AS27" s="406" t="str">
        <f t="shared" si="65"/>
        <v xml:space="preserve"> </v>
      </c>
      <c r="AT27" s="406" t="str">
        <f t="shared" si="65"/>
        <v xml:space="preserve"> </v>
      </c>
      <c r="AU27" s="406" t="str">
        <f t="shared" si="65"/>
        <v xml:space="preserve"> </v>
      </c>
      <c r="AV27" s="406" t="str">
        <f t="shared" si="65"/>
        <v xml:space="preserve"> </v>
      </c>
      <c r="AW27" s="406" t="str">
        <f t="shared" si="65"/>
        <v xml:space="preserve"> </v>
      </c>
      <c r="AX27" s="406" t="str">
        <f t="shared" si="65"/>
        <v xml:space="preserve"> </v>
      </c>
      <c r="AY27" s="406" t="str">
        <f t="shared" si="65"/>
        <v xml:space="preserve"> </v>
      </c>
      <c r="AZ27" s="406" t="str">
        <f t="shared" si="65"/>
        <v xml:space="preserve"> </v>
      </c>
      <c r="BA27" s="406" t="str">
        <f t="shared" si="65"/>
        <v xml:space="preserve"> </v>
      </c>
      <c r="BB27" s="406" t="str">
        <f t="shared" si="65"/>
        <v xml:space="preserve"> </v>
      </c>
      <c r="BC27" s="406" t="str">
        <f t="shared" si="65"/>
        <v xml:space="preserve"> </v>
      </c>
      <c r="BD27" s="406" t="str">
        <f t="shared" si="65"/>
        <v xml:space="preserve"> </v>
      </c>
      <c r="BE27" s="406" t="str">
        <f t="shared" si="65"/>
        <v xml:space="preserve"> </v>
      </c>
      <c r="BF27" s="406" t="str">
        <f t="shared" si="65"/>
        <v xml:space="preserve"> </v>
      </c>
      <c r="BG27" s="406" t="str">
        <f t="shared" si="65"/>
        <v xml:space="preserve"> </v>
      </c>
      <c r="BH27" s="406" t="str">
        <f t="shared" si="65"/>
        <v xml:space="preserve"> </v>
      </c>
      <c r="BI27" s="406" t="str">
        <f t="shared" si="65"/>
        <v xml:space="preserve"> </v>
      </c>
      <c r="BJ27" s="406" t="str">
        <f t="shared" si="65"/>
        <v xml:space="preserve"> </v>
      </c>
      <c r="BK27" s="406" t="str">
        <f t="shared" si="65"/>
        <v xml:space="preserve"> </v>
      </c>
      <c r="BL27" s="406" t="str">
        <f t="shared" si="65"/>
        <v xml:space="preserve"> </v>
      </c>
      <c r="BM27" s="406" t="str">
        <f t="shared" si="65"/>
        <v xml:space="preserve"> </v>
      </c>
      <c r="BN27" s="406" t="str">
        <f t="shared" si="65"/>
        <v xml:space="preserve"> </v>
      </c>
      <c r="BO27" s="406" t="str">
        <f t="shared" si="65"/>
        <v xml:space="preserve"> </v>
      </c>
      <c r="BP27" s="406" t="str">
        <f t="shared" si="65"/>
        <v xml:space="preserve"> </v>
      </c>
      <c r="BQ27" s="406" t="str">
        <f t="shared" si="65"/>
        <v xml:space="preserve"> </v>
      </c>
      <c r="BR27" s="406" t="str">
        <f t="shared" si="65"/>
        <v xml:space="preserve"> </v>
      </c>
      <c r="BS27" s="406" t="str">
        <f t="shared" si="65"/>
        <v xml:space="preserve"> </v>
      </c>
      <c r="BT27" s="406" t="str">
        <f t="shared" si="65"/>
        <v xml:space="preserve"> </v>
      </c>
      <c r="BU27" s="406" t="str">
        <f t="shared" si="65"/>
        <v xml:space="preserve"> </v>
      </c>
      <c r="BV27" s="406" t="str">
        <f t="shared" si="65"/>
        <v xml:space="preserve"> </v>
      </c>
      <c r="BW27" s="406" t="str">
        <f t="shared" si="65"/>
        <v xml:space="preserve"> </v>
      </c>
      <c r="BX27" s="406" t="str">
        <f t="shared" si="65"/>
        <v xml:space="preserve"> </v>
      </c>
      <c r="BY27" s="406" t="str">
        <f t="shared" si="65"/>
        <v xml:space="preserve"> </v>
      </c>
      <c r="BZ27" s="406" t="str">
        <f t="shared" si="65"/>
        <v xml:space="preserve"> </v>
      </c>
      <c r="CA27" s="406" t="str">
        <f t="shared" si="65"/>
        <v xml:space="preserve"> </v>
      </c>
      <c r="CB27" s="407" t="str">
        <f t="shared" si="65"/>
        <v xml:space="preserve"> </v>
      </c>
      <c r="CC27" s="407" t="str">
        <f t="shared" si="65"/>
        <v xml:space="preserve"> </v>
      </c>
      <c r="CD27" s="407" t="str">
        <f t="shared" si="65"/>
        <v xml:space="preserve"> </v>
      </c>
      <c r="CE27" s="407" t="str">
        <f t="shared" si="65"/>
        <v xml:space="preserve"> </v>
      </c>
      <c r="CF27" s="407" t="str">
        <f t="shared" si="65"/>
        <v xml:space="preserve"> </v>
      </c>
      <c r="CG27" s="407" t="str">
        <f t="shared" si="65"/>
        <v xml:space="preserve"> </v>
      </c>
      <c r="CH27" s="407" t="str">
        <f t="shared" si="65"/>
        <v xml:space="preserve"> </v>
      </c>
      <c r="CI27" s="407" t="str">
        <f t="shared" si="65"/>
        <v xml:space="preserve"> </v>
      </c>
      <c r="CJ27" s="407" t="str">
        <f t="shared" ref="CJ27:EE27" si="66">" "</f>
        <v xml:space="preserve"> </v>
      </c>
      <c r="CK27" s="407" t="str">
        <f t="shared" si="66"/>
        <v xml:space="preserve"> </v>
      </c>
      <c r="CL27" s="407" t="str">
        <f t="shared" si="66"/>
        <v xml:space="preserve"> </v>
      </c>
      <c r="CM27" s="407" t="str">
        <f t="shared" si="66"/>
        <v xml:space="preserve"> </v>
      </c>
      <c r="CN27" s="407" t="str">
        <f t="shared" si="66"/>
        <v xml:space="preserve"> </v>
      </c>
      <c r="CO27" s="407" t="str">
        <f t="shared" si="66"/>
        <v xml:space="preserve"> </v>
      </c>
      <c r="CP27" s="407" t="str">
        <f t="shared" si="66"/>
        <v xml:space="preserve"> </v>
      </c>
      <c r="CQ27" s="407" t="str">
        <f t="shared" si="66"/>
        <v xml:space="preserve"> </v>
      </c>
      <c r="CR27" s="407" t="str">
        <f t="shared" si="66"/>
        <v xml:space="preserve"> </v>
      </c>
      <c r="CS27" s="407" t="str">
        <f t="shared" si="66"/>
        <v xml:space="preserve"> </v>
      </c>
      <c r="CT27" s="407" t="str">
        <f t="shared" si="66"/>
        <v xml:space="preserve"> </v>
      </c>
      <c r="CU27" s="407" t="str">
        <f t="shared" si="66"/>
        <v xml:space="preserve"> </v>
      </c>
      <c r="CV27" s="407" t="str">
        <f t="shared" si="66"/>
        <v xml:space="preserve"> </v>
      </c>
      <c r="CW27" s="407" t="str">
        <f t="shared" si="66"/>
        <v xml:space="preserve"> </v>
      </c>
      <c r="CX27" s="407" t="str">
        <f t="shared" si="66"/>
        <v xml:space="preserve"> </v>
      </c>
      <c r="CY27" s="407" t="str">
        <f t="shared" si="66"/>
        <v xml:space="preserve"> </v>
      </c>
      <c r="CZ27" s="407" t="str">
        <f t="shared" si="66"/>
        <v xml:space="preserve"> </v>
      </c>
      <c r="DA27" s="407" t="str">
        <f t="shared" si="66"/>
        <v xml:space="preserve"> </v>
      </c>
      <c r="DB27" s="407" t="str">
        <f t="shared" si="66"/>
        <v xml:space="preserve"> </v>
      </c>
      <c r="DC27" s="407" t="str">
        <f t="shared" si="66"/>
        <v xml:space="preserve"> </v>
      </c>
      <c r="DD27" s="407" t="str">
        <f t="shared" si="66"/>
        <v xml:space="preserve"> </v>
      </c>
      <c r="DE27" s="407" t="str">
        <f t="shared" si="66"/>
        <v xml:space="preserve"> </v>
      </c>
      <c r="DF27" s="407" t="str">
        <f t="shared" si="66"/>
        <v xml:space="preserve"> </v>
      </c>
      <c r="DG27" s="407" t="str">
        <f t="shared" si="66"/>
        <v xml:space="preserve"> </v>
      </c>
      <c r="DH27" s="407" t="str">
        <f t="shared" si="66"/>
        <v xml:space="preserve"> </v>
      </c>
      <c r="DI27" s="407" t="str">
        <f t="shared" si="66"/>
        <v xml:space="preserve"> </v>
      </c>
      <c r="DJ27" s="407" t="str">
        <f t="shared" si="66"/>
        <v xml:space="preserve"> </v>
      </c>
      <c r="DK27" s="407" t="str">
        <f t="shared" si="66"/>
        <v xml:space="preserve"> </v>
      </c>
      <c r="DL27" s="407" t="str">
        <f t="shared" si="66"/>
        <v xml:space="preserve"> </v>
      </c>
      <c r="DM27" s="407" t="str">
        <f t="shared" si="66"/>
        <v xml:space="preserve"> </v>
      </c>
      <c r="DN27" s="407" t="str">
        <f t="shared" si="66"/>
        <v xml:space="preserve"> </v>
      </c>
      <c r="DO27" s="407" t="str">
        <f t="shared" si="66"/>
        <v xml:space="preserve"> </v>
      </c>
      <c r="DP27" s="407" t="str">
        <f t="shared" si="66"/>
        <v xml:space="preserve"> </v>
      </c>
      <c r="DQ27" s="407" t="str">
        <f t="shared" si="66"/>
        <v xml:space="preserve"> </v>
      </c>
      <c r="DR27" s="407" t="str">
        <f t="shared" si="66"/>
        <v xml:space="preserve"> </v>
      </c>
      <c r="DS27" s="407" t="str">
        <f t="shared" si="66"/>
        <v xml:space="preserve"> </v>
      </c>
      <c r="DT27" s="407" t="str">
        <f t="shared" si="66"/>
        <v xml:space="preserve"> </v>
      </c>
      <c r="DU27" s="407" t="str">
        <f t="shared" si="66"/>
        <v xml:space="preserve"> </v>
      </c>
      <c r="DV27" s="407" t="str">
        <f t="shared" si="66"/>
        <v xml:space="preserve"> </v>
      </c>
      <c r="DW27" s="407" t="str">
        <f t="shared" si="66"/>
        <v xml:space="preserve"> </v>
      </c>
      <c r="DX27" s="407" t="str">
        <f t="shared" si="66"/>
        <v xml:space="preserve"> </v>
      </c>
      <c r="DY27" s="407" t="str">
        <f t="shared" si="66"/>
        <v xml:space="preserve"> </v>
      </c>
      <c r="DZ27" s="407" t="str">
        <f t="shared" si="66"/>
        <v xml:space="preserve"> </v>
      </c>
      <c r="EA27" s="407" t="str">
        <f t="shared" si="66"/>
        <v xml:space="preserve"> </v>
      </c>
      <c r="EB27" s="407" t="str">
        <f t="shared" si="66"/>
        <v xml:space="preserve"> </v>
      </c>
      <c r="EC27" s="407" t="str">
        <f t="shared" si="66"/>
        <v xml:space="preserve"> </v>
      </c>
      <c r="ED27" s="407" t="str">
        <f t="shared" si="66"/>
        <v xml:space="preserve"> </v>
      </c>
      <c r="EE27" s="407" t="str">
        <f t="shared" si="66"/>
        <v xml:space="preserve"> </v>
      </c>
    </row>
    <row r="28" spans="1:135" s="408" customFormat="1" x14ac:dyDescent="0.25">
      <c r="A28" s="390">
        <v>3</v>
      </c>
      <c r="B28" s="391" t="str">
        <f t="shared" si="25"/>
        <v>2.2.2</v>
      </c>
      <c r="C28" s="393" t="s">
        <v>926</v>
      </c>
      <c r="D28" s="393"/>
      <c r="E28" s="394"/>
      <c r="F28" s="409"/>
      <c r="G28" s="410"/>
      <c r="H28" s="410"/>
      <c r="I28" s="410"/>
      <c r="J28" s="411">
        <v>45536</v>
      </c>
      <c r="K28" s="412"/>
      <c r="L28" s="413"/>
      <c r="M28" s="411">
        <v>45597</v>
      </c>
      <c r="N28" s="414" t="s">
        <v>867</v>
      </c>
      <c r="O28" s="415">
        <v>0</v>
      </c>
      <c r="P28" s="401">
        <v>3</v>
      </c>
      <c r="Q28" s="402">
        <f t="shared" si="60"/>
        <v>45536</v>
      </c>
      <c r="R28" s="402">
        <f t="shared" si="27"/>
        <v>45597</v>
      </c>
      <c r="S28" s="403">
        <f t="shared" si="28"/>
        <v>43</v>
      </c>
      <c r="T28" s="403">
        <f t="shared" si="36"/>
        <v>62</v>
      </c>
      <c r="U28" s="404"/>
      <c r="V28" s="404"/>
      <c r="W28" s="405"/>
      <c r="X28" s="406" t="str">
        <f t="shared" si="29"/>
        <v xml:space="preserve"> </v>
      </c>
      <c r="Y28" s="406" t="str">
        <f t="shared" si="29"/>
        <v xml:space="preserve"> </v>
      </c>
      <c r="Z28" s="406" t="str">
        <f t="shared" si="29"/>
        <v xml:space="preserve"> </v>
      </c>
      <c r="AA28" s="406" t="str">
        <f t="shared" si="29"/>
        <v xml:space="preserve"> </v>
      </c>
      <c r="AB28" s="406" t="str">
        <f t="shared" si="29"/>
        <v xml:space="preserve"> </v>
      </c>
      <c r="AC28" s="406" t="str">
        <f t="shared" si="29"/>
        <v xml:space="preserve"> </v>
      </c>
      <c r="AD28" s="406" t="str">
        <f t="shared" si="29"/>
        <v xml:space="preserve"> </v>
      </c>
      <c r="AE28" s="406" t="str">
        <f t="shared" si="29"/>
        <v xml:space="preserve"> </v>
      </c>
      <c r="AF28" s="406" t="str">
        <f t="shared" si="29"/>
        <v xml:space="preserve"> </v>
      </c>
      <c r="AG28" s="406" t="str">
        <f t="shared" si="29"/>
        <v xml:space="preserve"> </v>
      </c>
      <c r="AH28" s="406" t="str">
        <f t="shared" si="29"/>
        <v xml:space="preserve"> </v>
      </c>
      <c r="AI28" s="406" t="str">
        <f t="shared" si="29"/>
        <v xml:space="preserve"> </v>
      </c>
      <c r="AJ28" s="406" t="str">
        <f t="shared" si="29"/>
        <v xml:space="preserve"> </v>
      </c>
      <c r="AK28" s="406" t="str">
        <f t="shared" si="29"/>
        <v xml:space="preserve"> </v>
      </c>
      <c r="AL28" s="406" t="str">
        <f t="shared" si="29"/>
        <v xml:space="preserve"> </v>
      </c>
      <c r="AM28" s="406" t="str">
        <f t="shared" si="29"/>
        <v xml:space="preserve"> </v>
      </c>
      <c r="AN28" s="406" t="str">
        <f t="shared" si="30"/>
        <v xml:space="preserve"> </v>
      </c>
      <c r="AO28" s="406" t="str">
        <f t="shared" si="30"/>
        <v xml:space="preserve"> </v>
      </c>
      <c r="AP28" s="406" t="str">
        <f t="shared" si="30"/>
        <v xml:space="preserve"> </v>
      </c>
      <c r="AQ28" s="406" t="str">
        <f t="shared" si="30"/>
        <v xml:space="preserve"> </v>
      </c>
      <c r="AR28" s="406" t="str">
        <f t="shared" si="30"/>
        <v xml:space="preserve"> </v>
      </c>
      <c r="AS28" s="406" t="str">
        <f t="shared" si="30"/>
        <v xml:space="preserve"> </v>
      </c>
      <c r="AT28" s="406" t="str">
        <f t="shared" si="30"/>
        <v xml:space="preserve"> </v>
      </c>
      <c r="AU28" s="406" t="str">
        <f t="shared" si="30"/>
        <v xml:space="preserve"> </v>
      </c>
      <c r="AV28" s="406" t="str">
        <f t="shared" si="30"/>
        <v xml:space="preserve"> </v>
      </c>
      <c r="AW28" s="406" t="str">
        <f t="shared" si="30"/>
        <v xml:space="preserve"> </v>
      </c>
      <c r="AX28" s="406" t="str">
        <f t="shared" si="30"/>
        <v xml:space="preserve"> </v>
      </c>
      <c r="AY28" s="406" t="str">
        <f t="shared" si="30"/>
        <v xml:space="preserve"> </v>
      </c>
      <c r="AZ28" s="406" t="str">
        <f t="shared" si="30"/>
        <v xml:space="preserve"> </v>
      </c>
      <c r="BA28" s="406" t="str">
        <f t="shared" si="30"/>
        <v xml:space="preserve"> </v>
      </c>
      <c r="BB28" s="406" t="str">
        <f t="shared" si="30"/>
        <v xml:space="preserve"> </v>
      </c>
      <c r="BC28" s="406" t="str">
        <f t="shared" si="30"/>
        <v xml:space="preserve"> </v>
      </c>
      <c r="BD28" s="406" t="str">
        <f t="shared" si="31"/>
        <v xml:space="preserve"> </v>
      </c>
      <c r="BE28" s="406" t="str">
        <f t="shared" si="31"/>
        <v xml:space="preserve"> </v>
      </c>
      <c r="BF28" s="406" t="str">
        <f t="shared" si="31"/>
        <v xml:space="preserve"> </v>
      </c>
      <c r="BG28" s="406" t="str">
        <f t="shared" si="31"/>
        <v xml:space="preserve"> </v>
      </c>
      <c r="BH28" s="406" t="str">
        <f t="shared" si="31"/>
        <v xml:space="preserve"> </v>
      </c>
      <c r="BI28" s="406" t="str">
        <f t="shared" si="31"/>
        <v xml:space="preserve"> </v>
      </c>
      <c r="BJ28" s="406" t="str">
        <f t="shared" si="31"/>
        <v xml:space="preserve"> </v>
      </c>
      <c r="BK28" s="406" t="str">
        <f t="shared" si="31"/>
        <v xml:space="preserve"> </v>
      </c>
      <c r="BL28" s="406" t="str">
        <f t="shared" si="31"/>
        <v xml:space="preserve"> </v>
      </c>
      <c r="BM28" s="406" t="str">
        <f t="shared" si="31"/>
        <v xml:space="preserve"> </v>
      </c>
      <c r="BN28" s="406" t="str">
        <f t="shared" si="31"/>
        <v xml:space="preserve"> </v>
      </c>
      <c r="BO28" s="406" t="str">
        <f t="shared" si="31"/>
        <v xml:space="preserve"> </v>
      </c>
      <c r="BP28" s="406" t="str">
        <f t="shared" si="31"/>
        <v xml:space="preserve"> </v>
      </c>
      <c r="BQ28" s="406" t="str">
        <f t="shared" si="31"/>
        <v xml:space="preserve"> </v>
      </c>
      <c r="BR28" s="406" t="str">
        <f t="shared" si="31"/>
        <v xml:space="preserve"> </v>
      </c>
      <c r="BS28" s="406" t="str">
        <f t="shared" si="31"/>
        <v xml:space="preserve"> </v>
      </c>
      <c r="BT28" s="406" t="str">
        <f t="shared" si="32"/>
        <v xml:space="preserve"> </v>
      </c>
      <c r="BU28" s="406" t="str">
        <f t="shared" si="32"/>
        <v xml:space="preserve"> </v>
      </c>
      <c r="BV28" s="406" t="str">
        <f t="shared" si="32"/>
        <v xml:space="preserve"> </v>
      </c>
      <c r="BW28" s="406" t="str">
        <f t="shared" si="32"/>
        <v xml:space="preserve"> </v>
      </c>
      <c r="BX28" s="406" t="str">
        <f t="shared" si="32"/>
        <v xml:space="preserve"> </v>
      </c>
      <c r="BY28" s="406" t="str">
        <f t="shared" si="32"/>
        <v xml:space="preserve"> </v>
      </c>
      <c r="BZ28" s="406" t="str">
        <f t="shared" si="32"/>
        <v xml:space="preserve"> </v>
      </c>
      <c r="CA28" s="406" t="str">
        <f t="shared" si="32"/>
        <v xml:space="preserve"> </v>
      </c>
      <c r="CB28" s="407" t="str">
        <f t="shared" si="32"/>
        <v xml:space="preserve"> </v>
      </c>
      <c r="CC28" s="407" t="str">
        <f t="shared" si="32"/>
        <v xml:space="preserve"> </v>
      </c>
      <c r="CD28" s="407" t="str">
        <f t="shared" si="32"/>
        <v xml:space="preserve"> </v>
      </c>
      <c r="CE28" s="407" t="str">
        <f t="shared" si="32"/>
        <v xml:space="preserve"> </v>
      </c>
      <c r="CF28" s="407" t="str">
        <f t="shared" si="32"/>
        <v xml:space="preserve"> </v>
      </c>
      <c r="CG28" s="407" t="str">
        <f t="shared" si="32"/>
        <v xml:space="preserve"> </v>
      </c>
      <c r="CH28" s="407" t="str">
        <f t="shared" si="32"/>
        <v xml:space="preserve"> </v>
      </c>
      <c r="CI28" s="407" t="str">
        <f t="shared" si="32"/>
        <v xml:space="preserve"> </v>
      </c>
      <c r="CJ28" s="407" t="str">
        <f t="shared" si="33"/>
        <v xml:space="preserve"> </v>
      </c>
      <c r="CK28" s="407" t="str">
        <f t="shared" si="33"/>
        <v xml:space="preserve"> </v>
      </c>
      <c r="CL28" s="407" t="str">
        <f t="shared" si="33"/>
        <v xml:space="preserve"> </v>
      </c>
      <c r="CM28" s="407" t="str">
        <f t="shared" si="33"/>
        <v xml:space="preserve"> </v>
      </c>
      <c r="CN28" s="407" t="str">
        <f t="shared" si="33"/>
        <v xml:space="preserve"> </v>
      </c>
      <c r="CO28" s="407" t="str">
        <f t="shared" si="33"/>
        <v xml:space="preserve"> </v>
      </c>
      <c r="CP28" s="407" t="str">
        <f t="shared" si="33"/>
        <v xml:space="preserve"> </v>
      </c>
      <c r="CQ28" s="407" t="str">
        <f t="shared" si="33"/>
        <v xml:space="preserve"> </v>
      </c>
      <c r="CR28" s="407" t="str">
        <f t="shared" si="33"/>
        <v xml:space="preserve"> </v>
      </c>
      <c r="CS28" s="407" t="str">
        <f t="shared" si="33"/>
        <v xml:space="preserve"> </v>
      </c>
      <c r="CT28" s="407" t="str">
        <f t="shared" si="33"/>
        <v xml:space="preserve"> </v>
      </c>
      <c r="CU28" s="407" t="str">
        <f t="shared" si="33"/>
        <v xml:space="preserve"> </v>
      </c>
      <c r="CV28" s="407" t="str">
        <f t="shared" si="33"/>
        <v xml:space="preserve"> </v>
      </c>
      <c r="CW28" s="407" t="str">
        <f t="shared" si="33"/>
        <v xml:space="preserve"> </v>
      </c>
      <c r="CX28" s="407" t="str">
        <f t="shared" si="33"/>
        <v xml:space="preserve"> </v>
      </c>
      <c r="CY28" s="407" t="str">
        <f t="shared" si="33"/>
        <v xml:space="preserve"> </v>
      </c>
      <c r="CZ28" s="407" t="str">
        <f t="shared" si="34"/>
        <v xml:space="preserve"> </v>
      </c>
      <c r="DA28" s="407" t="str">
        <f t="shared" si="34"/>
        <v xml:space="preserve"> </v>
      </c>
      <c r="DB28" s="407" t="str">
        <f t="shared" si="34"/>
        <v xml:space="preserve"> </v>
      </c>
      <c r="DC28" s="407" t="str">
        <f t="shared" si="34"/>
        <v xml:space="preserve"> </v>
      </c>
      <c r="DD28" s="407" t="str">
        <f t="shared" si="34"/>
        <v xml:space="preserve"> </v>
      </c>
      <c r="DE28" s="407" t="str">
        <f t="shared" si="34"/>
        <v xml:space="preserve"> </v>
      </c>
      <c r="DF28" s="407" t="str">
        <f t="shared" si="34"/>
        <v xml:space="preserve"> </v>
      </c>
      <c r="DG28" s="407" t="str">
        <f t="shared" si="34"/>
        <v xml:space="preserve"> </v>
      </c>
      <c r="DH28" s="407" t="str">
        <f t="shared" si="34"/>
        <v xml:space="preserve"> </v>
      </c>
      <c r="DI28" s="407" t="str">
        <f t="shared" si="34"/>
        <v xml:space="preserve"> </v>
      </c>
      <c r="DJ28" s="407" t="str">
        <f t="shared" si="34"/>
        <v xml:space="preserve"> </v>
      </c>
      <c r="DK28" s="407" t="str">
        <f t="shared" si="34"/>
        <v xml:space="preserve"> </v>
      </c>
      <c r="DL28" s="407" t="str">
        <f t="shared" si="34"/>
        <v xml:space="preserve"> </v>
      </c>
      <c r="DM28" s="407" t="str">
        <f t="shared" si="34"/>
        <v xml:space="preserve"> </v>
      </c>
      <c r="DN28" s="407" t="str">
        <f t="shared" si="34"/>
        <v xml:space="preserve"> </v>
      </c>
      <c r="DO28" s="407" t="str">
        <f t="shared" si="34"/>
        <v xml:space="preserve"> </v>
      </c>
      <c r="DP28" s="407" t="str">
        <f t="shared" si="34"/>
        <v xml:space="preserve"> </v>
      </c>
      <c r="DQ28" s="407" t="str">
        <f t="shared" si="35"/>
        <v xml:space="preserve"> </v>
      </c>
      <c r="DR28" s="407" t="str">
        <f t="shared" si="35"/>
        <v xml:space="preserve"> </v>
      </c>
      <c r="DS28" s="407" t="str">
        <f t="shared" si="35"/>
        <v xml:space="preserve"> </v>
      </c>
      <c r="DT28" s="407" t="str">
        <f t="shared" si="35"/>
        <v xml:space="preserve"> </v>
      </c>
      <c r="DU28" s="407" t="str">
        <f t="shared" si="35"/>
        <v xml:space="preserve"> </v>
      </c>
      <c r="DV28" s="407" t="str">
        <f t="shared" si="35"/>
        <v xml:space="preserve"> </v>
      </c>
      <c r="DW28" s="407" t="str">
        <f t="shared" si="35"/>
        <v xml:space="preserve"> </v>
      </c>
      <c r="DX28" s="407" t="str">
        <f t="shared" si="35"/>
        <v xml:space="preserve"> </v>
      </c>
      <c r="DY28" s="407" t="str">
        <f t="shared" si="35"/>
        <v xml:space="preserve"> </v>
      </c>
      <c r="DZ28" s="407" t="str">
        <f t="shared" si="35"/>
        <v xml:space="preserve"> </v>
      </c>
      <c r="EA28" s="407" t="str">
        <f t="shared" si="35"/>
        <v xml:space="preserve"> </v>
      </c>
      <c r="EB28" s="407" t="str">
        <f t="shared" si="35"/>
        <v xml:space="preserve"> </v>
      </c>
      <c r="EC28" s="407" t="str">
        <f t="shared" si="35"/>
        <v xml:space="preserve"> </v>
      </c>
      <c r="ED28" s="407" t="str">
        <f t="shared" si="35"/>
        <v xml:space="preserve"> </v>
      </c>
      <c r="EE28" s="407" t="str">
        <f t="shared" si="35"/>
        <v xml:space="preserve"> </v>
      </c>
    </row>
    <row r="29" spans="1:135" s="408" customFormat="1" x14ac:dyDescent="0.25">
      <c r="A29" s="390">
        <v>2</v>
      </c>
      <c r="B29" s="391" t="str">
        <f t="shared" si="25"/>
        <v>2.3</v>
      </c>
      <c r="C29" s="393" t="s">
        <v>913</v>
      </c>
      <c r="D29" s="393"/>
      <c r="E29" s="394"/>
      <c r="F29" s="409"/>
      <c r="G29" s="410"/>
      <c r="H29" s="410"/>
      <c r="I29" s="410"/>
      <c r="J29" s="411">
        <v>45536</v>
      </c>
      <c r="K29" s="412"/>
      <c r="L29" s="413"/>
      <c r="M29" s="411">
        <v>45597</v>
      </c>
      <c r="N29" s="414" t="s">
        <v>868</v>
      </c>
      <c r="O29" s="415">
        <v>0.1</v>
      </c>
      <c r="P29" s="401">
        <v>3</v>
      </c>
      <c r="Q29" s="402">
        <f t="shared" si="60"/>
        <v>45536</v>
      </c>
      <c r="R29" s="402">
        <f t="shared" si="27"/>
        <v>45597</v>
      </c>
      <c r="S29" s="403">
        <f t="shared" si="28"/>
        <v>43</v>
      </c>
      <c r="T29" s="403">
        <f t="shared" si="36"/>
        <v>62</v>
      </c>
      <c r="U29" s="404"/>
      <c r="V29" s="404"/>
      <c r="W29" s="405"/>
      <c r="X29" s="406" t="str">
        <f t="shared" si="29"/>
        <v xml:space="preserve"> </v>
      </c>
      <c r="Y29" s="406" t="str">
        <f t="shared" si="29"/>
        <v xml:space="preserve"> </v>
      </c>
      <c r="Z29" s="406" t="str">
        <f t="shared" si="29"/>
        <v xml:space="preserve"> </v>
      </c>
      <c r="AA29" s="406" t="str">
        <f t="shared" si="29"/>
        <v xml:space="preserve"> </v>
      </c>
      <c r="AB29" s="406" t="str">
        <f t="shared" si="29"/>
        <v xml:space="preserve"> </v>
      </c>
      <c r="AC29" s="406" t="str">
        <f t="shared" si="29"/>
        <v xml:space="preserve"> </v>
      </c>
      <c r="AD29" s="406" t="str">
        <f t="shared" si="29"/>
        <v xml:space="preserve"> </v>
      </c>
      <c r="AE29" s="406" t="str">
        <f t="shared" si="29"/>
        <v xml:space="preserve"> </v>
      </c>
      <c r="AF29" s="406" t="str">
        <f t="shared" si="29"/>
        <v xml:space="preserve"> </v>
      </c>
      <c r="AG29" s="406" t="str">
        <f t="shared" si="29"/>
        <v xml:space="preserve"> </v>
      </c>
      <c r="AH29" s="406" t="str">
        <f t="shared" si="29"/>
        <v xml:space="preserve"> </v>
      </c>
      <c r="AI29" s="406" t="str">
        <f t="shared" si="29"/>
        <v xml:space="preserve"> </v>
      </c>
      <c r="AJ29" s="406" t="str">
        <f t="shared" si="29"/>
        <v xml:space="preserve"> </v>
      </c>
      <c r="AK29" s="406" t="str">
        <f t="shared" si="29"/>
        <v xml:space="preserve"> </v>
      </c>
      <c r="AL29" s="406" t="str">
        <f t="shared" si="29"/>
        <v xml:space="preserve"> </v>
      </c>
      <c r="AM29" s="406" t="str">
        <f t="shared" si="29"/>
        <v xml:space="preserve"> </v>
      </c>
      <c r="AN29" s="406" t="str">
        <f t="shared" si="30"/>
        <v xml:space="preserve"> </v>
      </c>
      <c r="AO29" s="406" t="str">
        <f t="shared" si="30"/>
        <v xml:space="preserve"> </v>
      </c>
      <c r="AP29" s="406" t="str">
        <f t="shared" si="30"/>
        <v xml:space="preserve"> </v>
      </c>
      <c r="AQ29" s="406" t="str">
        <f t="shared" si="30"/>
        <v xml:space="preserve"> </v>
      </c>
      <c r="AR29" s="406" t="str">
        <f t="shared" si="30"/>
        <v xml:space="preserve"> </v>
      </c>
      <c r="AS29" s="406" t="str">
        <f t="shared" si="30"/>
        <v xml:space="preserve"> </v>
      </c>
      <c r="AT29" s="406" t="str">
        <f t="shared" si="30"/>
        <v xml:space="preserve"> </v>
      </c>
      <c r="AU29" s="406" t="str">
        <f t="shared" si="30"/>
        <v xml:space="preserve"> </v>
      </c>
      <c r="AV29" s="406" t="str">
        <f t="shared" si="30"/>
        <v xml:space="preserve"> </v>
      </c>
      <c r="AW29" s="406" t="str">
        <f t="shared" si="30"/>
        <v xml:space="preserve"> </v>
      </c>
      <c r="AX29" s="406" t="str">
        <f t="shared" si="30"/>
        <v xml:space="preserve"> </v>
      </c>
      <c r="AY29" s="406" t="str">
        <f t="shared" si="30"/>
        <v xml:space="preserve"> </v>
      </c>
      <c r="AZ29" s="406" t="str">
        <f t="shared" si="30"/>
        <v xml:space="preserve"> </v>
      </c>
      <c r="BA29" s="406" t="str">
        <f t="shared" si="30"/>
        <v xml:space="preserve"> </v>
      </c>
      <c r="BB29" s="406" t="str">
        <f t="shared" si="30"/>
        <v xml:space="preserve"> </v>
      </c>
      <c r="BC29" s="406" t="str">
        <f t="shared" si="30"/>
        <v xml:space="preserve"> </v>
      </c>
      <c r="BD29" s="406" t="str">
        <f t="shared" si="31"/>
        <v xml:space="preserve"> </v>
      </c>
      <c r="BE29" s="406" t="str">
        <f t="shared" si="31"/>
        <v xml:space="preserve"> </v>
      </c>
      <c r="BF29" s="406" t="str">
        <f t="shared" si="31"/>
        <v xml:space="preserve"> </v>
      </c>
      <c r="BG29" s="406" t="str">
        <f t="shared" si="31"/>
        <v xml:space="preserve"> </v>
      </c>
      <c r="BH29" s="406" t="str">
        <f t="shared" si="31"/>
        <v xml:space="preserve"> </v>
      </c>
      <c r="BI29" s="406" t="str">
        <f t="shared" si="31"/>
        <v xml:space="preserve"> </v>
      </c>
      <c r="BJ29" s="406" t="str">
        <f t="shared" si="31"/>
        <v xml:space="preserve"> </v>
      </c>
      <c r="BK29" s="406" t="str">
        <f t="shared" si="31"/>
        <v xml:space="preserve"> </v>
      </c>
      <c r="BL29" s="406" t="str">
        <f t="shared" si="31"/>
        <v xml:space="preserve"> </v>
      </c>
      <c r="BM29" s="406" t="str">
        <f t="shared" si="31"/>
        <v xml:space="preserve"> </v>
      </c>
      <c r="BN29" s="406" t="str">
        <f t="shared" si="31"/>
        <v xml:space="preserve"> </v>
      </c>
      <c r="BO29" s="406" t="str">
        <f t="shared" si="31"/>
        <v xml:space="preserve"> </v>
      </c>
      <c r="BP29" s="406" t="str">
        <f t="shared" si="31"/>
        <v xml:space="preserve"> </v>
      </c>
      <c r="BQ29" s="406" t="str">
        <f t="shared" si="31"/>
        <v xml:space="preserve"> </v>
      </c>
      <c r="BR29" s="406" t="str">
        <f t="shared" si="31"/>
        <v xml:space="preserve"> </v>
      </c>
      <c r="BS29" s="406" t="str">
        <f t="shared" si="31"/>
        <v xml:space="preserve"> </v>
      </c>
      <c r="BT29" s="406" t="str">
        <f t="shared" si="32"/>
        <v xml:space="preserve"> </v>
      </c>
      <c r="BU29" s="406" t="str">
        <f t="shared" si="32"/>
        <v xml:space="preserve"> </v>
      </c>
      <c r="BV29" s="406" t="str">
        <f t="shared" si="32"/>
        <v xml:space="preserve"> </v>
      </c>
      <c r="BW29" s="406" t="str">
        <f t="shared" si="32"/>
        <v xml:space="preserve"> </v>
      </c>
      <c r="BX29" s="406" t="str">
        <f t="shared" si="32"/>
        <v xml:space="preserve"> </v>
      </c>
      <c r="BY29" s="406" t="str">
        <f t="shared" si="32"/>
        <v xml:space="preserve"> </v>
      </c>
      <c r="BZ29" s="406" t="str">
        <f t="shared" si="32"/>
        <v xml:space="preserve"> </v>
      </c>
      <c r="CA29" s="406" t="str">
        <f t="shared" si="32"/>
        <v xml:space="preserve"> </v>
      </c>
      <c r="CB29" s="407" t="str">
        <f t="shared" si="32"/>
        <v xml:space="preserve"> </v>
      </c>
      <c r="CC29" s="407" t="str">
        <f t="shared" si="32"/>
        <v xml:space="preserve"> </v>
      </c>
      <c r="CD29" s="407" t="str">
        <f t="shared" si="32"/>
        <v xml:space="preserve"> </v>
      </c>
      <c r="CE29" s="407" t="str">
        <f t="shared" si="32"/>
        <v xml:space="preserve"> </v>
      </c>
      <c r="CF29" s="407" t="str">
        <f t="shared" si="32"/>
        <v xml:space="preserve"> </v>
      </c>
      <c r="CG29" s="407" t="str">
        <f t="shared" si="32"/>
        <v xml:space="preserve"> </v>
      </c>
      <c r="CH29" s="407" t="str">
        <f t="shared" si="32"/>
        <v xml:space="preserve"> </v>
      </c>
      <c r="CI29" s="407" t="str">
        <f t="shared" si="32"/>
        <v xml:space="preserve"> </v>
      </c>
      <c r="CJ29" s="407" t="str">
        <f t="shared" si="33"/>
        <v xml:space="preserve"> </v>
      </c>
      <c r="CK29" s="407" t="str">
        <f t="shared" si="33"/>
        <v xml:space="preserve"> </v>
      </c>
      <c r="CL29" s="407" t="str">
        <f t="shared" si="33"/>
        <v xml:space="preserve"> </v>
      </c>
      <c r="CM29" s="407" t="str">
        <f t="shared" si="33"/>
        <v xml:space="preserve"> </v>
      </c>
      <c r="CN29" s="407" t="str">
        <f t="shared" si="33"/>
        <v xml:space="preserve"> </v>
      </c>
      <c r="CO29" s="407" t="str">
        <f t="shared" si="33"/>
        <v xml:space="preserve"> </v>
      </c>
      <c r="CP29" s="407" t="str">
        <f t="shared" si="33"/>
        <v xml:space="preserve"> </v>
      </c>
      <c r="CQ29" s="407" t="str">
        <f t="shared" si="33"/>
        <v xml:space="preserve"> </v>
      </c>
      <c r="CR29" s="407" t="str">
        <f t="shared" si="33"/>
        <v xml:space="preserve"> </v>
      </c>
      <c r="CS29" s="407" t="str">
        <f t="shared" si="33"/>
        <v xml:space="preserve"> </v>
      </c>
      <c r="CT29" s="407" t="str">
        <f t="shared" si="33"/>
        <v xml:space="preserve"> </v>
      </c>
      <c r="CU29" s="407" t="str">
        <f t="shared" si="33"/>
        <v xml:space="preserve"> </v>
      </c>
      <c r="CV29" s="407" t="str">
        <f t="shared" si="33"/>
        <v xml:space="preserve"> </v>
      </c>
      <c r="CW29" s="407" t="str">
        <f t="shared" si="33"/>
        <v xml:space="preserve"> </v>
      </c>
      <c r="CX29" s="407" t="str">
        <f t="shared" si="33"/>
        <v xml:space="preserve"> </v>
      </c>
      <c r="CY29" s="407" t="str">
        <f t="shared" si="33"/>
        <v xml:space="preserve"> </v>
      </c>
      <c r="CZ29" s="407" t="str">
        <f t="shared" si="34"/>
        <v xml:space="preserve"> </v>
      </c>
      <c r="DA29" s="407" t="str">
        <f t="shared" si="34"/>
        <v xml:space="preserve"> </v>
      </c>
      <c r="DB29" s="407" t="str">
        <f t="shared" si="34"/>
        <v xml:space="preserve"> </v>
      </c>
      <c r="DC29" s="407" t="str">
        <f t="shared" si="34"/>
        <v xml:space="preserve"> </v>
      </c>
      <c r="DD29" s="407" t="str">
        <f t="shared" si="34"/>
        <v xml:space="preserve"> </v>
      </c>
      <c r="DE29" s="407" t="str">
        <f t="shared" si="34"/>
        <v xml:space="preserve"> </v>
      </c>
      <c r="DF29" s="407" t="str">
        <f t="shared" si="34"/>
        <v xml:space="preserve"> </v>
      </c>
      <c r="DG29" s="407" t="str">
        <f t="shared" si="34"/>
        <v xml:space="preserve"> </v>
      </c>
      <c r="DH29" s="407" t="str">
        <f t="shared" si="34"/>
        <v xml:space="preserve"> </v>
      </c>
      <c r="DI29" s="407" t="str">
        <f t="shared" si="34"/>
        <v xml:space="preserve"> </v>
      </c>
      <c r="DJ29" s="407" t="str">
        <f t="shared" si="34"/>
        <v xml:space="preserve"> </v>
      </c>
      <c r="DK29" s="407" t="str">
        <f t="shared" si="34"/>
        <v xml:space="preserve"> </v>
      </c>
      <c r="DL29" s="407" t="str">
        <f t="shared" si="34"/>
        <v xml:space="preserve"> </v>
      </c>
      <c r="DM29" s="407" t="str">
        <f t="shared" si="34"/>
        <v xml:space="preserve"> </v>
      </c>
      <c r="DN29" s="407" t="str">
        <f t="shared" si="34"/>
        <v xml:space="preserve"> </v>
      </c>
      <c r="DO29" s="407" t="str">
        <f t="shared" si="34"/>
        <v xml:space="preserve"> </v>
      </c>
      <c r="DP29" s="407" t="str">
        <f t="shared" si="34"/>
        <v xml:space="preserve"> </v>
      </c>
      <c r="DQ29" s="407" t="str">
        <f t="shared" si="35"/>
        <v xml:space="preserve"> </v>
      </c>
      <c r="DR29" s="407" t="str">
        <f t="shared" si="35"/>
        <v xml:space="preserve"> </v>
      </c>
      <c r="DS29" s="407" t="str">
        <f t="shared" si="35"/>
        <v xml:space="preserve"> </v>
      </c>
      <c r="DT29" s="407" t="str">
        <f t="shared" si="35"/>
        <v xml:space="preserve"> </v>
      </c>
      <c r="DU29" s="407" t="str">
        <f t="shared" si="35"/>
        <v xml:space="preserve"> </v>
      </c>
      <c r="DV29" s="407" t="str">
        <f t="shared" si="35"/>
        <v xml:space="preserve"> </v>
      </c>
      <c r="DW29" s="407" t="str">
        <f t="shared" si="35"/>
        <v xml:space="preserve"> </v>
      </c>
      <c r="DX29" s="407" t="str">
        <f t="shared" si="35"/>
        <v xml:space="preserve"> </v>
      </c>
      <c r="DY29" s="407" t="str">
        <f t="shared" si="35"/>
        <v xml:space="preserve"> </v>
      </c>
      <c r="DZ29" s="407" t="str">
        <f t="shared" si="35"/>
        <v xml:space="preserve"> </v>
      </c>
      <c r="EA29" s="407" t="str">
        <f t="shared" si="35"/>
        <v xml:space="preserve"> </v>
      </c>
      <c r="EB29" s="407" t="str">
        <f t="shared" si="35"/>
        <v xml:space="preserve"> </v>
      </c>
      <c r="EC29" s="407" t="str">
        <f t="shared" si="35"/>
        <v xml:space="preserve"> </v>
      </c>
      <c r="ED29" s="407" t="str">
        <f t="shared" si="35"/>
        <v xml:space="preserve"> </v>
      </c>
      <c r="EE29" s="407" t="str">
        <f t="shared" si="35"/>
        <v xml:space="preserve"> </v>
      </c>
    </row>
    <row r="30" spans="1:135" s="408" customFormat="1" x14ac:dyDescent="0.25">
      <c r="A30" s="390">
        <v>2</v>
      </c>
      <c r="B30" s="391" t="str">
        <f t="shared" si="25"/>
        <v>2.4</v>
      </c>
      <c r="C30" s="393" t="s">
        <v>914</v>
      </c>
      <c r="D30" s="393"/>
      <c r="E30" s="394"/>
      <c r="F30" s="409"/>
      <c r="G30" s="410"/>
      <c r="H30" s="410"/>
      <c r="I30" s="410"/>
      <c r="J30" s="411">
        <v>45566</v>
      </c>
      <c r="K30" s="412"/>
      <c r="L30" s="413"/>
      <c r="M30" s="411">
        <v>45627</v>
      </c>
      <c r="N30" s="414" t="s">
        <v>870</v>
      </c>
      <c r="O30" s="415">
        <v>0</v>
      </c>
      <c r="P30" s="401" t="s">
        <v>866</v>
      </c>
      <c r="Q30" s="402">
        <f t="shared" si="60"/>
        <v>45566</v>
      </c>
      <c r="R30" s="402">
        <f t="shared" si="27"/>
        <v>45627</v>
      </c>
      <c r="S30" s="403">
        <f t="shared" si="28"/>
        <v>41</v>
      </c>
      <c r="T30" s="403">
        <f t="shared" si="36"/>
        <v>62</v>
      </c>
      <c r="U30" s="404"/>
      <c r="V30" s="404"/>
      <c r="W30" s="405"/>
      <c r="X30" s="406" t="str">
        <f t="shared" si="29"/>
        <v xml:space="preserve"> </v>
      </c>
      <c r="Y30" s="406" t="str">
        <f t="shared" si="29"/>
        <v xml:space="preserve"> </v>
      </c>
      <c r="Z30" s="406" t="str">
        <f t="shared" si="29"/>
        <v xml:space="preserve"> </v>
      </c>
      <c r="AA30" s="406" t="str">
        <f t="shared" si="29"/>
        <v xml:space="preserve"> </v>
      </c>
      <c r="AB30" s="406" t="str">
        <f t="shared" si="29"/>
        <v xml:space="preserve"> </v>
      </c>
      <c r="AC30" s="406" t="str">
        <f t="shared" si="29"/>
        <v xml:space="preserve"> </v>
      </c>
      <c r="AD30" s="406" t="str">
        <f t="shared" si="29"/>
        <v xml:space="preserve"> </v>
      </c>
      <c r="AE30" s="406" t="str">
        <f t="shared" si="29"/>
        <v xml:space="preserve"> </v>
      </c>
      <c r="AF30" s="406" t="str">
        <f t="shared" si="29"/>
        <v xml:space="preserve"> </v>
      </c>
      <c r="AG30" s="406" t="str">
        <f t="shared" si="29"/>
        <v xml:space="preserve"> </v>
      </c>
      <c r="AH30" s="406" t="str">
        <f t="shared" si="29"/>
        <v xml:space="preserve"> </v>
      </c>
      <c r="AI30" s="406" t="str">
        <f t="shared" si="29"/>
        <v xml:space="preserve"> </v>
      </c>
      <c r="AJ30" s="406" t="str">
        <f t="shared" si="29"/>
        <v xml:space="preserve"> </v>
      </c>
      <c r="AK30" s="406" t="str">
        <f t="shared" si="29"/>
        <v xml:space="preserve"> </v>
      </c>
      <c r="AL30" s="406" t="str">
        <f t="shared" si="29"/>
        <v xml:space="preserve"> </v>
      </c>
      <c r="AM30" s="406" t="str">
        <f t="shared" si="29"/>
        <v xml:space="preserve"> </v>
      </c>
      <c r="AN30" s="406" t="str">
        <f t="shared" si="30"/>
        <v xml:space="preserve"> </v>
      </c>
      <c r="AO30" s="406" t="str">
        <f t="shared" si="30"/>
        <v xml:space="preserve"> </v>
      </c>
      <c r="AP30" s="406" t="str">
        <f t="shared" si="30"/>
        <v xml:space="preserve"> </v>
      </c>
      <c r="AQ30" s="406" t="str">
        <f t="shared" si="30"/>
        <v xml:space="preserve"> </v>
      </c>
      <c r="AR30" s="406" t="str">
        <f t="shared" si="30"/>
        <v xml:space="preserve"> </v>
      </c>
      <c r="AS30" s="406" t="str">
        <f t="shared" si="30"/>
        <v xml:space="preserve"> </v>
      </c>
      <c r="AT30" s="406" t="str">
        <f t="shared" si="30"/>
        <v xml:space="preserve"> </v>
      </c>
      <c r="AU30" s="406" t="str">
        <f t="shared" si="30"/>
        <v xml:space="preserve"> </v>
      </c>
      <c r="AV30" s="406" t="str">
        <f t="shared" si="30"/>
        <v xml:space="preserve"> </v>
      </c>
      <c r="AW30" s="406" t="str">
        <f t="shared" si="30"/>
        <v xml:space="preserve"> </v>
      </c>
      <c r="AX30" s="406" t="str">
        <f t="shared" si="30"/>
        <v xml:space="preserve"> </v>
      </c>
      <c r="AY30" s="406" t="str">
        <f t="shared" si="30"/>
        <v xml:space="preserve"> </v>
      </c>
      <c r="AZ30" s="406" t="str">
        <f t="shared" si="30"/>
        <v xml:space="preserve"> </v>
      </c>
      <c r="BA30" s="406" t="str">
        <f t="shared" si="30"/>
        <v xml:space="preserve"> </v>
      </c>
      <c r="BB30" s="406" t="str">
        <f t="shared" si="30"/>
        <v xml:space="preserve"> </v>
      </c>
      <c r="BC30" s="406" t="str">
        <f t="shared" si="30"/>
        <v xml:space="preserve"> </v>
      </c>
      <c r="BD30" s="406" t="str">
        <f t="shared" si="31"/>
        <v xml:space="preserve"> </v>
      </c>
      <c r="BE30" s="406" t="str">
        <f t="shared" si="31"/>
        <v xml:space="preserve"> </v>
      </c>
      <c r="BF30" s="406" t="str">
        <f t="shared" si="31"/>
        <v xml:space="preserve"> </v>
      </c>
      <c r="BG30" s="406" t="str">
        <f t="shared" si="31"/>
        <v xml:space="preserve"> </v>
      </c>
      <c r="BH30" s="406" t="str">
        <f t="shared" si="31"/>
        <v xml:space="preserve"> </v>
      </c>
      <c r="BI30" s="406" t="str">
        <f t="shared" si="31"/>
        <v xml:space="preserve"> </v>
      </c>
      <c r="BJ30" s="406" t="str">
        <f t="shared" si="31"/>
        <v xml:space="preserve"> </v>
      </c>
      <c r="BK30" s="406" t="str">
        <f t="shared" si="31"/>
        <v xml:space="preserve"> </v>
      </c>
      <c r="BL30" s="406" t="str">
        <f t="shared" si="31"/>
        <v xml:space="preserve"> </v>
      </c>
      <c r="BM30" s="406" t="str">
        <f t="shared" si="31"/>
        <v xml:space="preserve"> </v>
      </c>
      <c r="BN30" s="406" t="str">
        <f t="shared" si="31"/>
        <v xml:space="preserve"> </v>
      </c>
      <c r="BO30" s="406" t="str">
        <f t="shared" si="31"/>
        <v xml:space="preserve"> </v>
      </c>
      <c r="BP30" s="406" t="str">
        <f t="shared" si="31"/>
        <v xml:space="preserve"> </v>
      </c>
      <c r="BQ30" s="406" t="str">
        <f t="shared" si="31"/>
        <v xml:space="preserve"> </v>
      </c>
      <c r="BR30" s="406" t="str">
        <f t="shared" si="31"/>
        <v xml:space="preserve"> </v>
      </c>
      <c r="BS30" s="406" t="str">
        <f t="shared" si="31"/>
        <v xml:space="preserve"> </v>
      </c>
      <c r="BT30" s="406" t="str">
        <f t="shared" si="32"/>
        <v xml:space="preserve"> </v>
      </c>
      <c r="BU30" s="406" t="str">
        <f t="shared" si="32"/>
        <v xml:space="preserve"> </v>
      </c>
      <c r="BV30" s="406" t="str">
        <f t="shared" si="32"/>
        <v xml:space="preserve"> </v>
      </c>
      <c r="BW30" s="406" t="str">
        <f t="shared" si="32"/>
        <v xml:space="preserve"> </v>
      </c>
      <c r="BX30" s="406" t="str">
        <f t="shared" si="32"/>
        <v xml:space="preserve"> </v>
      </c>
      <c r="BY30" s="406" t="str">
        <f t="shared" si="32"/>
        <v xml:space="preserve"> </v>
      </c>
      <c r="BZ30" s="406" t="str">
        <f t="shared" si="32"/>
        <v xml:space="preserve"> </v>
      </c>
      <c r="CA30" s="406" t="str">
        <f t="shared" si="32"/>
        <v xml:space="preserve"> </v>
      </c>
      <c r="CB30" s="407" t="str">
        <f t="shared" si="32"/>
        <v xml:space="preserve"> </v>
      </c>
      <c r="CC30" s="407" t="str">
        <f t="shared" si="32"/>
        <v xml:space="preserve"> </v>
      </c>
      <c r="CD30" s="407" t="str">
        <f t="shared" si="32"/>
        <v xml:space="preserve"> </v>
      </c>
      <c r="CE30" s="407" t="str">
        <f t="shared" si="32"/>
        <v xml:space="preserve"> </v>
      </c>
      <c r="CF30" s="407" t="str">
        <f t="shared" si="32"/>
        <v xml:space="preserve"> </v>
      </c>
      <c r="CG30" s="407" t="str">
        <f t="shared" si="32"/>
        <v xml:space="preserve"> </v>
      </c>
      <c r="CH30" s="407" t="str">
        <f t="shared" si="32"/>
        <v xml:space="preserve"> </v>
      </c>
      <c r="CI30" s="407" t="str">
        <f t="shared" si="32"/>
        <v xml:space="preserve"> </v>
      </c>
      <c r="CJ30" s="407" t="str">
        <f t="shared" si="33"/>
        <v xml:space="preserve"> </v>
      </c>
      <c r="CK30" s="407" t="str">
        <f t="shared" si="33"/>
        <v xml:space="preserve"> </v>
      </c>
      <c r="CL30" s="407" t="str">
        <f t="shared" si="33"/>
        <v xml:space="preserve"> </v>
      </c>
      <c r="CM30" s="407" t="str">
        <f t="shared" si="33"/>
        <v xml:space="preserve"> </v>
      </c>
      <c r="CN30" s="407" t="str">
        <f t="shared" si="33"/>
        <v xml:space="preserve"> </v>
      </c>
      <c r="CO30" s="407" t="str">
        <f t="shared" si="33"/>
        <v xml:space="preserve"> </v>
      </c>
      <c r="CP30" s="407" t="str">
        <f t="shared" si="33"/>
        <v xml:space="preserve"> </v>
      </c>
      <c r="CQ30" s="407" t="str">
        <f t="shared" si="33"/>
        <v xml:space="preserve"> </v>
      </c>
      <c r="CR30" s="407" t="str">
        <f t="shared" si="33"/>
        <v xml:space="preserve"> </v>
      </c>
      <c r="CS30" s="407" t="str">
        <f t="shared" si="33"/>
        <v xml:space="preserve"> </v>
      </c>
      <c r="CT30" s="407" t="str">
        <f t="shared" si="33"/>
        <v xml:space="preserve"> </v>
      </c>
      <c r="CU30" s="407" t="str">
        <f t="shared" si="33"/>
        <v xml:space="preserve"> </v>
      </c>
      <c r="CV30" s="407" t="str">
        <f t="shared" si="33"/>
        <v xml:space="preserve"> </v>
      </c>
      <c r="CW30" s="407" t="str">
        <f t="shared" si="33"/>
        <v xml:space="preserve"> </v>
      </c>
      <c r="CX30" s="407" t="str">
        <f t="shared" si="33"/>
        <v xml:space="preserve"> </v>
      </c>
      <c r="CY30" s="407" t="str">
        <f t="shared" si="33"/>
        <v xml:space="preserve"> </v>
      </c>
      <c r="CZ30" s="407" t="str">
        <f t="shared" si="34"/>
        <v xml:space="preserve"> </v>
      </c>
      <c r="DA30" s="407" t="str">
        <f t="shared" si="34"/>
        <v xml:space="preserve"> </v>
      </c>
      <c r="DB30" s="407" t="str">
        <f t="shared" si="34"/>
        <v xml:space="preserve"> </v>
      </c>
      <c r="DC30" s="407" t="str">
        <f t="shared" si="34"/>
        <v xml:space="preserve"> </v>
      </c>
      <c r="DD30" s="407" t="str">
        <f t="shared" si="34"/>
        <v xml:space="preserve"> </v>
      </c>
      <c r="DE30" s="407" t="str">
        <f t="shared" si="34"/>
        <v xml:space="preserve"> </v>
      </c>
      <c r="DF30" s="407" t="str">
        <f t="shared" si="34"/>
        <v xml:space="preserve"> </v>
      </c>
      <c r="DG30" s="407" t="str">
        <f t="shared" si="34"/>
        <v xml:space="preserve"> </v>
      </c>
      <c r="DH30" s="407" t="str">
        <f t="shared" si="34"/>
        <v xml:space="preserve"> </v>
      </c>
      <c r="DI30" s="407" t="str">
        <f t="shared" si="34"/>
        <v xml:space="preserve"> </v>
      </c>
      <c r="DJ30" s="407" t="str">
        <f t="shared" si="34"/>
        <v xml:space="preserve"> </v>
      </c>
      <c r="DK30" s="407" t="str">
        <f t="shared" si="34"/>
        <v xml:space="preserve"> </v>
      </c>
      <c r="DL30" s="407" t="str">
        <f t="shared" si="34"/>
        <v xml:space="preserve"> </v>
      </c>
      <c r="DM30" s="407" t="str">
        <f t="shared" si="34"/>
        <v xml:space="preserve"> </v>
      </c>
      <c r="DN30" s="407" t="str">
        <f t="shared" si="34"/>
        <v xml:space="preserve"> </v>
      </c>
      <c r="DO30" s="407" t="str">
        <f t="shared" si="34"/>
        <v xml:space="preserve"> </v>
      </c>
      <c r="DP30" s="407" t="str">
        <f t="shared" si="34"/>
        <v xml:space="preserve"> </v>
      </c>
      <c r="DQ30" s="407" t="str">
        <f t="shared" si="35"/>
        <v xml:space="preserve"> </v>
      </c>
      <c r="DR30" s="407" t="str">
        <f t="shared" si="35"/>
        <v xml:space="preserve"> </v>
      </c>
      <c r="DS30" s="407" t="str">
        <f t="shared" si="35"/>
        <v xml:space="preserve"> </v>
      </c>
      <c r="DT30" s="407" t="str">
        <f t="shared" si="35"/>
        <v xml:space="preserve"> </v>
      </c>
      <c r="DU30" s="407" t="str">
        <f t="shared" si="35"/>
        <v xml:space="preserve"> </v>
      </c>
      <c r="DV30" s="407" t="str">
        <f t="shared" si="35"/>
        <v xml:space="preserve"> </v>
      </c>
      <c r="DW30" s="407" t="str">
        <f t="shared" si="35"/>
        <v xml:space="preserve"> </v>
      </c>
      <c r="DX30" s="407" t="str">
        <f t="shared" si="35"/>
        <v xml:space="preserve"> </v>
      </c>
      <c r="DY30" s="407" t="str">
        <f t="shared" si="35"/>
        <v xml:space="preserve"> </v>
      </c>
      <c r="DZ30" s="407" t="str">
        <f t="shared" si="35"/>
        <v xml:space="preserve"> </v>
      </c>
      <c r="EA30" s="407" t="str">
        <f t="shared" si="35"/>
        <v xml:space="preserve"> </v>
      </c>
      <c r="EB30" s="407" t="str">
        <f t="shared" si="35"/>
        <v xml:space="preserve"> </v>
      </c>
      <c r="EC30" s="407" t="str">
        <f t="shared" si="35"/>
        <v xml:space="preserve"> </v>
      </c>
      <c r="ED30" s="407" t="str">
        <f t="shared" si="35"/>
        <v xml:space="preserve"> </v>
      </c>
      <c r="EE30" s="407" t="str">
        <f t="shared" si="35"/>
        <v xml:space="preserve"> </v>
      </c>
    </row>
    <row r="31" spans="1:135" s="408" customFormat="1" x14ac:dyDescent="0.25">
      <c r="A31" s="390">
        <v>2</v>
      </c>
      <c r="B31" s="391" t="str">
        <f t="shared" si="25"/>
        <v>2.5</v>
      </c>
      <c r="C31" s="393" t="s">
        <v>43</v>
      </c>
      <c r="D31" s="393"/>
      <c r="E31" s="394"/>
      <c r="F31" s="409"/>
      <c r="G31" s="410"/>
      <c r="H31" s="410"/>
      <c r="I31" s="410"/>
      <c r="J31" s="411">
        <v>45597</v>
      </c>
      <c r="K31" s="412"/>
      <c r="L31" s="413"/>
      <c r="M31" s="411">
        <v>45688</v>
      </c>
      <c r="N31" s="414" t="s">
        <v>127</v>
      </c>
      <c r="O31" s="415">
        <v>0</v>
      </c>
      <c r="P31" s="401" t="s">
        <v>866</v>
      </c>
      <c r="Q31" s="402">
        <f t="shared" si="60"/>
        <v>45597</v>
      </c>
      <c r="R31" s="402">
        <f t="shared" si="27"/>
        <v>45688</v>
      </c>
      <c r="S31" s="403">
        <f t="shared" si="28"/>
        <v>60</v>
      </c>
      <c r="T31" s="403">
        <f t="shared" si="36"/>
        <v>92</v>
      </c>
      <c r="U31" s="404"/>
      <c r="V31" s="404"/>
      <c r="W31" s="405"/>
      <c r="X31" s="406" t="str">
        <f t="shared" si="29"/>
        <v xml:space="preserve"> </v>
      </c>
      <c r="Y31" s="406" t="str">
        <f t="shared" si="29"/>
        <v xml:space="preserve"> </v>
      </c>
      <c r="Z31" s="406" t="str">
        <f t="shared" si="29"/>
        <v xml:space="preserve"> </v>
      </c>
      <c r="AA31" s="406" t="str">
        <f t="shared" si="29"/>
        <v xml:space="preserve"> </v>
      </c>
      <c r="AB31" s="406" t="str">
        <f t="shared" si="29"/>
        <v xml:space="preserve"> </v>
      </c>
      <c r="AC31" s="406" t="str">
        <f t="shared" si="29"/>
        <v xml:space="preserve"> </v>
      </c>
      <c r="AD31" s="406" t="str">
        <f t="shared" si="29"/>
        <v xml:space="preserve"> </v>
      </c>
      <c r="AE31" s="406" t="str">
        <f t="shared" si="29"/>
        <v xml:space="preserve"> </v>
      </c>
      <c r="AF31" s="406" t="str">
        <f t="shared" si="29"/>
        <v xml:space="preserve"> </v>
      </c>
      <c r="AG31" s="406" t="str">
        <f t="shared" si="29"/>
        <v xml:space="preserve"> </v>
      </c>
      <c r="AH31" s="406" t="str">
        <f t="shared" si="29"/>
        <v xml:space="preserve"> </v>
      </c>
      <c r="AI31" s="406" t="str">
        <f t="shared" si="29"/>
        <v xml:space="preserve"> </v>
      </c>
      <c r="AJ31" s="406" t="str">
        <f t="shared" si="29"/>
        <v xml:space="preserve"> </v>
      </c>
      <c r="AK31" s="406" t="str">
        <f t="shared" si="29"/>
        <v xml:space="preserve"> </v>
      </c>
      <c r="AL31" s="406" t="str">
        <f t="shared" si="29"/>
        <v xml:space="preserve"> </v>
      </c>
      <c r="AM31" s="406" t="str">
        <f t="shared" si="29"/>
        <v xml:space="preserve"> </v>
      </c>
      <c r="AN31" s="406" t="str">
        <f t="shared" si="30"/>
        <v xml:space="preserve"> </v>
      </c>
      <c r="AO31" s="406" t="str">
        <f t="shared" si="30"/>
        <v xml:space="preserve"> </v>
      </c>
      <c r="AP31" s="406" t="str">
        <f t="shared" si="30"/>
        <v xml:space="preserve"> </v>
      </c>
      <c r="AQ31" s="406" t="str">
        <f t="shared" si="30"/>
        <v xml:space="preserve"> </v>
      </c>
      <c r="AR31" s="406" t="str">
        <f t="shared" si="30"/>
        <v xml:space="preserve"> </v>
      </c>
      <c r="AS31" s="406" t="str">
        <f t="shared" si="30"/>
        <v xml:space="preserve"> </v>
      </c>
      <c r="AT31" s="406" t="str">
        <f t="shared" si="30"/>
        <v xml:space="preserve"> </v>
      </c>
      <c r="AU31" s="406" t="str">
        <f t="shared" si="30"/>
        <v xml:space="preserve"> </v>
      </c>
      <c r="AV31" s="406" t="str">
        <f t="shared" si="30"/>
        <v xml:space="preserve"> </v>
      </c>
      <c r="AW31" s="406" t="str">
        <f t="shared" si="30"/>
        <v xml:space="preserve"> </v>
      </c>
      <c r="AX31" s="406" t="str">
        <f t="shared" si="30"/>
        <v xml:space="preserve"> </v>
      </c>
      <c r="AY31" s="406" t="str">
        <f t="shared" si="30"/>
        <v xml:space="preserve"> </v>
      </c>
      <c r="AZ31" s="406" t="str">
        <f t="shared" si="30"/>
        <v xml:space="preserve"> </v>
      </c>
      <c r="BA31" s="406" t="str">
        <f t="shared" si="30"/>
        <v xml:space="preserve"> </v>
      </c>
      <c r="BB31" s="406" t="str">
        <f t="shared" si="30"/>
        <v xml:space="preserve"> </v>
      </c>
      <c r="BC31" s="406" t="str">
        <f t="shared" si="30"/>
        <v xml:space="preserve"> </v>
      </c>
      <c r="BD31" s="406" t="str">
        <f t="shared" si="31"/>
        <v xml:space="preserve"> </v>
      </c>
      <c r="BE31" s="406" t="str">
        <f t="shared" si="31"/>
        <v xml:space="preserve"> </v>
      </c>
      <c r="BF31" s="406" t="str">
        <f t="shared" si="31"/>
        <v xml:space="preserve"> </v>
      </c>
      <c r="BG31" s="406" t="str">
        <f t="shared" si="31"/>
        <v xml:space="preserve"> </v>
      </c>
      <c r="BH31" s="406" t="str">
        <f t="shared" si="31"/>
        <v xml:space="preserve"> </v>
      </c>
      <c r="BI31" s="406" t="str">
        <f t="shared" si="31"/>
        <v xml:space="preserve"> </v>
      </c>
      <c r="BJ31" s="406" t="str">
        <f t="shared" si="31"/>
        <v xml:space="preserve"> </v>
      </c>
      <c r="BK31" s="406" t="str">
        <f t="shared" si="31"/>
        <v xml:space="preserve"> </v>
      </c>
      <c r="BL31" s="406" t="str">
        <f t="shared" si="31"/>
        <v xml:space="preserve"> </v>
      </c>
      <c r="BM31" s="406" t="str">
        <f t="shared" si="31"/>
        <v xml:space="preserve"> </v>
      </c>
      <c r="BN31" s="406" t="str">
        <f t="shared" si="31"/>
        <v xml:space="preserve"> </v>
      </c>
      <c r="BO31" s="406" t="str">
        <f t="shared" si="31"/>
        <v xml:space="preserve"> </v>
      </c>
      <c r="BP31" s="406" t="str">
        <f t="shared" si="31"/>
        <v xml:space="preserve"> </v>
      </c>
      <c r="BQ31" s="406" t="str">
        <f t="shared" si="31"/>
        <v xml:space="preserve"> </v>
      </c>
      <c r="BR31" s="406" t="str">
        <f t="shared" si="31"/>
        <v xml:space="preserve"> </v>
      </c>
      <c r="BS31" s="406" t="str">
        <f t="shared" si="31"/>
        <v xml:space="preserve"> </v>
      </c>
      <c r="BT31" s="406" t="str">
        <f t="shared" si="32"/>
        <v xml:space="preserve"> </v>
      </c>
      <c r="BU31" s="406" t="str">
        <f t="shared" si="32"/>
        <v xml:space="preserve"> </v>
      </c>
      <c r="BV31" s="406" t="str">
        <f t="shared" si="32"/>
        <v xml:space="preserve"> </v>
      </c>
      <c r="BW31" s="406" t="str">
        <f t="shared" si="32"/>
        <v xml:space="preserve"> </v>
      </c>
      <c r="BX31" s="406" t="str">
        <f t="shared" si="32"/>
        <v xml:space="preserve"> </v>
      </c>
      <c r="BY31" s="406" t="str">
        <f t="shared" si="32"/>
        <v xml:space="preserve"> </v>
      </c>
      <c r="BZ31" s="406" t="str">
        <f t="shared" si="32"/>
        <v xml:space="preserve"> </v>
      </c>
      <c r="CA31" s="406" t="str">
        <f t="shared" si="32"/>
        <v xml:space="preserve"> </v>
      </c>
      <c r="CB31" s="407" t="str">
        <f t="shared" si="32"/>
        <v xml:space="preserve"> </v>
      </c>
      <c r="CC31" s="407" t="str">
        <f t="shared" si="32"/>
        <v xml:space="preserve"> </v>
      </c>
      <c r="CD31" s="407" t="str">
        <f t="shared" si="32"/>
        <v xml:space="preserve"> </v>
      </c>
      <c r="CE31" s="407" t="str">
        <f t="shared" si="32"/>
        <v xml:space="preserve"> </v>
      </c>
      <c r="CF31" s="407" t="str">
        <f t="shared" si="32"/>
        <v xml:space="preserve"> </v>
      </c>
      <c r="CG31" s="407" t="str">
        <f t="shared" si="32"/>
        <v xml:space="preserve"> </v>
      </c>
      <c r="CH31" s="407" t="str">
        <f t="shared" si="32"/>
        <v xml:space="preserve"> </v>
      </c>
      <c r="CI31" s="407" t="str">
        <f t="shared" si="32"/>
        <v xml:space="preserve"> </v>
      </c>
      <c r="CJ31" s="407" t="str">
        <f t="shared" si="33"/>
        <v xml:space="preserve"> </v>
      </c>
      <c r="CK31" s="407" t="str">
        <f t="shared" si="33"/>
        <v xml:space="preserve"> </v>
      </c>
      <c r="CL31" s="407" t="str">
        <f t="shared" si="33"/>
        <v xml:space="preserve"> </v>
      </c>
      <c r="CM31" s="407" t="str">
        <f t="shared" si="33"/>
        <v xml:space="preserve"> </v>
      </c>
      <c r="CN31" s="407" t="str">
        <f t="shared" si="33"/>
        <v xml:space="preserve"> </v>
      </c>
      <c r="CO31" s="407" t="str">
        <f t="shared" si="33"/>
        <v xml:space="preserve"> </v>
      </c>
      <c r="CP31" s="407" t="str">
        <f t="shared" si="33"/>
        <v xml:space="preserve"> </v>
      </c>
      <c r="CQ31" s="407" t="str">
        <f t="shared" si="33"/>
        <v xml:space="preserve"> </v>
      </c>
      <c r="CR31" s="407" t="str">
        <f t="shared" si="33"/>
        <v xml:space="preserve"> </v>
      </c>
      <c r="CS31" s="407" t="str">
        <f t="shared" si="33"/>
        <v xml:space="preserve"> </v>
      </c>
      <c r="CT31" s="407" t="str">
        <f t="shared" si="33"/>
        <v xml:space="preserve"> </v>
      </c>
      <c r="CU31" s="407" t="str">
        <f t="shared" si="33"/>
        <v xml:space="preserve"> </v>
      </c>
      <c r="CV31" s="407" t="str">
        <f t="shared" si="33"/>
        <v xml:space="preserve"> </v>
      </c>
      <c r="CW31" s="407" t="str">
        <f t="shared" si="33"/>
        <v xml:space="preserve"> </v>
      </c>
      <c r="CX31" s="407" t="str">
        <f t="shared" si="33"/>
        <v xml:space="preserve"> </v>
      </c>
      <c r="CY31" s="407" t="str">
        <f t="shared" si="33"/>
        <v xml:space="preserve"> </v>
      </c>
      <c r="CZ31" s="407" t="str">
        <f t="shared" si="34"/>
        <v xml:space="preserve"> </v>
      </c>
      <c r="DA31" s="407" t="str">
        <f t="shared" si="34"/>
        <v xml:space="preserve"> </v>
      </c>
      <c r="DB31" s="407" t="str">
        <f t="shared" si="34"/>
        <v xml:space="preserve"> </v>
      </c>
      <c r="DC31" s="407" t="str">
        <f t="shared" si="34"/>
        <v xml:space="preserve"> </v>
      </c>
      <c r="DD31" s="407" t="str">
        <f t="shared" si="34"/>
        <v xml:space="preserve"> </v>
      </c>
      <c r="DE31" s="407" t="str">
        <f t="shared" si="34"/>
        <v xml:space="preserve"> </v>
      </c>
      <c r="DF31" s="407" t="str">
        <f t="shared" si="34"/>
        <v xml:space="preserve"> </v>
      </c>
      <c r="DG31" s="407" t="str">
        <f t="shared" si="34"/>
        <v xml:space="preserve"> </v>
      </c>
      <c r="DH31" s="407" t="str">
        <f t="shared" si="34"/>
        <v xml:space="preserve"> </v>
      </c>
      <c r="DI31" s="407" t="str">
        <f t="shared" si="34"/>
        <v xml:space="preserve"> </v>
      </c>
      <c r="DJ31" s="407" t="str">
        <f t="shared" si="34"/>
        <v xml:space="preserve"> </v>
      </c>
      <c r="DK31" s="407" t="str">
        <f t="shared" si="34"/>
        <v xml:space="preserve"> </v>
      </c>
      <c r="DL31" s="407" t="str">
        <f t="shared" si="34"/>
        <v xml:space="preserve"> </v>
      </c>
      <c r="DM31" s="407" t="str">
        <f t="shared" si="34"/>
        <v xml:space="preserve"> </v>
      </c>
      <c r="DN31" s="407" t="str">
        <f t="shared" si="34"/>
        <v xml:space="preserve"> </v>
      </c>
      <c r="DO31" s="407" t="str">
        <f t="shared" si="34"/>
        <v xml:space="preserve"> </v>
      </c>
      <c r="DP31" s="407" t="str">
        <f t="shared" si="34"/>
        <v xml:space="preserve"> </v>
      </c>
      <c r="DQ31" s="407" t="str">
        <f t="shared" si="35"/>
        <v xml:space="preserve"> </v>
      </c>
      <c r="DR31" s="407" t="str">
        <f t="shared" si="35"/>
        <v xml:space="preserve"> </v>
      </c>
      <c r="DS31" s="407" t="str">
        <f t="shared" si="35"/>
        <v xml:space="preserve"> </v>
      </c>
      <c r="DT31" s="407" t="str">
        <f t="shared" si="35"/>
        <v xml:space="preserve"> </v>
      </c>
      <c r="DU31" s="407" t="str">
        <f t="shared" si="35"/>
        <v xml:space="preserve"> </v>
      </c>
      <c r="DV31" s="407" t="str">
        <f t="shared" si="35"/>
        <v xml:space="preserve"> </v>
      </c>
      <c r="DW31" s="407" t="str">
        <f t="shared" si="35"/>
        <v xml:space="preserve"> </v>
      </c>
      <c r="DX31" s="407" t="str">
        <f t="shared" si="35"/>
        <v xml:space="preserve"> </v>
      </c>
      <c r="DY31" s="407" t="str">
        <f t="shared" si="35"/>
        <v xml:space="preserve"> </v>
      </c>
      <c r="DZ31" s="407" t="str">
        <f t="shared" si="35"/>
        <v xml:space="preserve"> </v>
      </c>
      <c r="EA31" s="407" t="str">
        <f t="shared" si="35"/>
        <v xml:space="preserve"> </v>
      </c>
      <c r="EB31" s="407" t="str">
        <f t="shared" si="35"/>
        <v xml:space="preserve"> </v>
      </c>
      <c r="EC31" s="407" t="str">
        <f t="shared" si="35"/>
        <v xml:space="preserve"> </v>
      </c>
      <c r="ED31" s="407" t="str">
        <f t="shared" si="35"/>
        <v xml:space="preserve"> </v>
      </c>
      <c r="EE31" s="407" t="str">
        <f t="shared" si="35"/>
        <v xml:space="preserve"> </v>
      </c>
    </row>
    <row r="32" spans="1:135" s="408" customFormat="1" x14ac:dyDescent="0.25">
      <c r="A32" s="390">
        <v>2</v>
      </c>
      <c r="B32" s="391" t="str">
        <f t="shared" si="25"/>
        <v>2.6</v>
      </c>
      <c r="C32" s="393" t="s">
        <v>759</v>
      </c>
      <c r="D32" s="393"/>
      <c r="E32" s="394"/>
      <c r="F32" s="409"/>
      <c r="G32" s="410"/>
      <c r="H32" s="410"/>
      <c r="I32" s="410"/>
      <c r="J32" s="411">
        <v>45597</v>
      </c>
      <c r="K32" s="412"/>
      <c r="L32" s="413"/>
      <c r="M32" s="411">
        <v>45688</v>
      </c>
      <c r="N32" s="414">
        <v>1</v>
      </c>
      <c r="O32" s="415">
        <v>0</v>
      </c>
      <c r="P32" s="401" t="s">
        <v>866</v>
      </c>
      <c r="Q32" s="402">
        <f t="shared" si="60"/>
        <v>45597</v>
      </c>
      <c r="R32" s="402">
        <f t="shared" si="27"/>
        <v>45688</v>
      </c>
      <c r="S32" s="403">
        <f t="shared" si="28"/>
        <v>60</v>
      </c>
      <c r="T32" s="403">
        <f t="shared" si="36"/>
        <v>92</v>
      </c>
      <c r="U32" s="404"/>
      <c r="V32" s="404"/>
      <c r="W32" s="405"/>
      <c r="X32" s="406" t="str">
        <f t="shared" si="29"/>
        <v xml:space="preserve"> </v>
      </c>
      <c r="Y32" s="406" t="str">
        <f t="shared" si="29"/>
        <v xml:space="preserve"> </v>
      </c>
      <c r="Z32" s="406" t="str">
        <f t="shared" si="29"/>
        <v xml:space="preserve"> </v>
      </c>
      <c r="AA32" s="406" t="str">
        <f t="shared" si="29"/>
        <v xml:space="preserve"> </v>
      </c>
      <c r="AB32" s="406" t="str">
        <f t="shared" si="29"/>
        <v xml:space="preserve"> </v>
      </c>
      <c r="AC32" s="406" t="str">
        <f t="shared" si="29"/>
        <v xml:space="preserve"> </v>
      </c>
      <c r="AD32" s="406" t="str">
        <f t="shared" si="29"/>
        <v xml:space="preserve"> </v>
      </c>
      <c r="AE32" s="406" t="str">
        <f t="shared" si="29"/>
        <v xml:space="preserve"> </v>
      </c>
      <c r="AF32" s="406" t="str">
        <f t="shared" si="29"/>
        <v xml:space="preserve"> </v>
      </c>
      <c r="AG32" s="406" t="str">
        <f t="shared" si="29"/>
        <v xml:space="preserve"> </v>
      </c>
      <c r="AH32" s="406" t="str">
        <f t="shared" si="29"/>
        <v xml:space="preserve"> </v>
      </c>
      <c r="AI32" s="406" t="str">
        <f t="shared" si="29"/>
        <v xml:space="preserve"> </v>
      </c>
      <c r="AJ32" s="406" t="str">
        <f t="shared" si="29"/>
        <v xml:space="preserve"> </v>
      </c>
      <c r="AK32" s="406" t="str">
        <f t="shared" si="29"/>
        <v xml:space="preserve"> </v>
      </c>
      <c r="AL32" s="406" t="str">
        <f t="shared" si="29"/>
        <v xml:space="preserve"> </v>
      </c>
      <c r="AM32" s="406" t="str">
        <f t="shared" si="29"/>
        <v xml:space="preserve"> </v>
      </c>
      <c r="AN32" s="406" t="str">
        <f t="shared" si="30"/>
        <v xml:space="preserve"> </v>
      </c>
      <c r="AO32" s="406" t="str">
        <f t="shared" si="30"/>
        <v xml:space="preserve"> </v>
      </c>
      <c r="AP32" s="406" t="str">
        <f t="shared" si="30"/>
        <v xml:space="preserve"> </v>
      </c>
      <c r="AQ32" s="406" t="str">
        <f t="shared" si="30"/>
        <v xml:space="preserve"> </v>
      </c>
      <c r="AR32" s="406" t="str">
        <f t="shared" si="30"/>
        <v xml:space="preserve"> </v>
      </c>
      <c r="AS32" s="406" t="str">
        <f t="shared" si="30"/>
        <v xml:space="preserve"> </v>
      </c>
      <c r="AT32" s="406" t="str">
        <f t="shared" si="30"/>
        <v xml:space="preserve"> </v>
      </c>
      <c r="AU32" s="406" t="str">
        <f t="shared" si="30"/>
        <v xml:space="preserve"> </v>
      </c>
      <c r="AV32" s="406" t="str">
        <f t="shared" si="30"/>
        <v xml:space="preserve"> </v>
      </c>
      <c r="AW32" s="406" t="str">
        <f t="shared" si="30"/>
        <v xml:space="preserve"> </v>
      </c>
      <c r="AX32" s="406" t="str">
        <f t="shared" si="30"/>
        <v xml:space="preserve"> </v>
      </c>
      <c r="AY32" s="406" t="str">
        <f t="shared" si="30"/>
        <v xml:space="preserve"> </v>
      </c>
      <c r="AZ32" s="406" t="str">
        <f t="shared" si="30"/>
        <v xml:space="preserve"> </v>
      </c>
      <c r="BA32" s="406" t="str">
        <f t="shared" si="30"/>
        <v xml:space="preserve"> </v>
      </c>
      <c r="BB32" s="406" t="str">
        <f t="shared" si="30"/>
        <v xml:space="preserve"> </v>
      </c>
      <c r="BC32" s="406" t="str">
        <f t="shared" si="30"/>
        <v xml:space="preserve"> </v>
      </c>
      <c r="BD32" s="406" t="str">
        <f t="shared" si="31"/>
        <v xml:space="preserve"> </v>
      </c>
      <c r="BE32" s="406" t="str">
        <f t="shared" si="31"/>
        <v xml:space="preserve"> </v>
      </c>
      <c r="BF32" s="406" t="str">
        <f t="shared" si="31"/>
        <v xml:space="preserve"> </v>
      </c>
      <c r="BG32" s="406" t="str">
        <f t="shared" si="31"/>
        <v xml:space="preserve"> </v>
      </c>
      <c r="BH32" s="406" t="str">
        <f t="shared" si="31"/>
        <v xml:space="preserve"> </v>
      </c>
      <c r="BI32" s="406" t="str">
        <f t="shared" si="31"/>
        <v xml:space="preserve"> </v>
      </c>
      <c r="BJ32" s="406" t="str">
        <f t="shared" si="31"/>
        <v xml:space="preserve"> </v>
      </c>
      <c r="BK32" s="406" t="str">
        <f t="shared" si="31"/>
        <v xml:space="preserve"> </v>
      </c>
      <c r="BL32" s="406" t="str">
        <f t="shared" si="31"/>
        <v xml:space="preserve"> </v>
      </c>
      <c r="BM32" s="406" t="str">
        <f t="shared" si="31"/>
        <v xml:space="preserve"> </v>
      </c>
      <c r="BN32" s="406" t="str">
        <f t="shared" si="31"/>
        <v xml:space="preserve"> </v>
      </c>
      <c r="BO32" s="406" t="str">
        <f t="shared" si="31"/>
        <v xml:space="preserve"> </v>
      </c>
      <c r="BP32" s="406" t="str">
        <f t="shared" si="31"/>
        <v xml:space="preserve"> </v>
      </c>
      <c r="BQ32" s="406" t="str">
        <f t="shared" si="31"/>
        <v xml:space="preserve"> </v>
      </c>
      <c r="BR32" s="406" t="str">
        <f t="shared" si="31"/>
        <v xml:space="preserve"> </v>
      </c>
      <c r="BS32" s="406" t="str">
        <f t="shared" si="31"/>
        <v xml:space="preserve"> </v>
      </c>
      <c r="BT32" s="406" t="str">
        <f t="shared" si="32"/>
        <v xml:space="preserve"> </v>
      </c>
      <c r="BU32" s="406" t="str">
        <f t="shared" si="32"/>
        <v xml:space="preserve"> </v>
      </c>
      <c r="BV32" s="406" t="str">
        <f t="shared" si="32"/>
        <v xml:space="preserve"> </v>
      </c>
      <c r="BW32" s="406" t="str">
        <f t="shared" si="32"/>
        <v xml:space="preserve"> </v>
      </c>
      <c r="BX32" s="406" t="str">
        <f t="shared" si="32"/>
        <v xml:space="preserve"> </v>
      </c>
      <c r="BY32" s="406" t="str">
        <f t="shared" si="32"/>
        <v xml:space="preserve"> </v>
      </c>
      <c r="BZ32" s="406" t="str">
        <f t="shared" si="32"/>
        <v xml:space="preserve"> </v>
      </c>
      <c r="CA32" s="406" t="str">
        <f t="shared" si="32"/>
        <v xml:space="preserve"> </v>
      </c>
      <c r="CB32" s="407" t="str">
        <f t="shared" si="32"/>
        <v xml:space="preserve"> </v>
      </c>
      <c r="CC32" s="407" t="str">
        <f t="shared" si="32"/>
        <v xml:space="preserve"> </v>
      </c>
      <c r="CD32" s="407" t="str">
        <f t="shared" si="32"/>
        <v xml:space="preserve"> </v>
      </c>
      <c r="CE32" s="407" t="str">
        <f t="shared" si="32"/>
        <v xml:space="preserve"> </v>
      </c>
      <c r="CF32" s="407" t="str">
        <f t="shared" si="32"/>
        <v xml:space="preserve"> </v>
      </c>
      <c r="CG32" s="407" t="str">
        <f t="shared" si="32"/>
        <v xml:space="preserve"> </v>
      </c>
      <c r="CH32" s="407" t="str">
        <f t="shared" si="32"/>
        <v xml:space="preserve"> </v>
      </c>
      <c r="CI32" s="407" t="str">
        <f t="shared" si="32"/>
        <v xml:space="preserve"> </v>
      </c>
      <c r="CJ32" s="407" t="str">
        <f t="shared" si="33"/>
        <v xml:space="preserve"> </v>
      </c>
      <c r="CK32" s="407" t="str">
        <f t="shared" si="33"/>
        <v xml:space="preserve"> </v>
      </c>
      <c r="CL32" s="407" t="str">
        <f t="shared" si="33"/>
        <v xml:space="preserve"> </v>
      </c>
      <c r="CM32" s="407" t="str">
        <f t="shared" si="33"/>
        <v xml:space="preserve"> </v>
      </c>
      <c r="CN32" s="407" t="str">
        <f t="shared" si="33"/>
        <v xml:space="preserve"> </v>
      </c>
      <c r="CO32" s="407" t="str">
        <f t="shared" si="33"/>
        <v xml:space="preserve"> </v>
      </c>
      <c r="CP32" s="407" t="str">
        <f t="shared" si="33"/>
        <v xml:space="preserve"> </v>
      </c>
      <c r="CQ32" s="407" t="str">
        <f t="shared" si="33"/>
        <v xml:space="preserve"> </v>
      </c>
      <c r="CR32" s="407" t="str">
        <f t="shared" si="33"/>
        <v xml:space="preserve"> </v>
      </c>
      <c r="CS32" s="407" t="str">
        <f t="shared" si="33"/>
        <v xml:space="preserve"> </v>
      </c>
      <c r="CT32" s="407" t="str">
        <f t="shared" si="33"/>
        <v xml:space="preserve"> </v>
      </c>
      <c r="CU32" s="407" t="str">
        <f t="shared" si="33"/>
        <v xml:space="preserve"> </v>
      </c>
      <c r="CV32" s="407" t="str">
        <f t="shared" si="33"/>
        <v xml:space="preserve"> </v>
      </c>
      <c r="CW32" s="407" t="str">
        <f t="shared" si="33"/>
        <v xml:space="preserve"> </v>
      </c>
      <c r="CX32" s="407" t="str">
        <f t="shared" si="33"/>
        <v xml:space="preserve"> </v>
      </c>
      <c r="CY32" s="407" t="str">
        <f t="shared" si="33"/>
        <v xml:space="preserve"> </v>
      </c>
      <c r="CZ32" s="407" t="str">
        <f t="shared" si="34"/>
        <v xml:space="preserve"> </v>
      </c>
      <c r="DA32" s="407" t="str">
        <f t="shared" si="34"/>
        <v xml:space="preserve"> </v>
      </c>
      <c r="DB32" s="407" t="str">
        <f t="shared" si="34"/>
        <v xml:space="preserve"> </v>
      </c>
      <c r="DC32" s="407" t="str">
        <f t="shared" si="34"/>
        <v xml:space="preserve"> </v>
      </c>
      <c r="DD32" s="407" t="str">
        <f t="shared" si="34"/>
        <v xml:space="preserve"> </v>
      </c>
      <c r="DE32" s="407" t="str">
        <f t="shared" si="34"/>
        <v xml:space="preserve"> </v>
      </c>
      <c r="DF32" s="407" t="str">
        <f t="shared" si="34"/>
        <v xml:space="preserve"> </v>
      </c>
      <c r="DG32" s="407" t="str">
        <f t="shared" si="34"/>
        <v xml:space="preserve"> </v>
      </c>
      <c r="DH32" s="407" t="str">
        <f t="shared" si="34"/>
        <v xml:space="preserve"> </v>
      </c>
      <c r="DI32" s="407" t="str">
        <f t="shared" si="34"/>
        <v xml:space="preserve"> </v>
      </c>
      <c r="DJ32" s="407" t="str">
        <f t="shared" si="34"/>
        <v xml:space="preserve"> </v>
      </c>
      <c r="DK32" s="407" t="str">
        <f t="shared" si="34"/>
        <v xml:space="preserve"> </v>
      </c>
      <c r="DL32" s="407" t="str">
        <f t="shared" si="34"/>
        <v xml:space="preserve"> </v>
      </c>
      <c r="DM32" s="407" t="str">
        <f t="shared" si="34"/>
        <v xml:space="preserve"> </v>
      </c>
      <c r="DN32" s="407" t="str">
        <f t="shared" si="34"/>
        <v xml:space="preserve"> </v>
      </c>
      <c r="DO32" s="407" t="str">
        <f t="shared" si="34"/>
        <v xml:space="preserve"> </v>
      </c>
      <c r="DP32" s="407" t="str">
        <f t="shared" si="34"/>
        <v xml:space="preserve"> </v>
      </c>
      <c r="DQ32" s="407" t="str">
        <f t="shared" si="35"/>
        <v xml:space="preserve"> </v>
      </c>
      <c r="DR32" s="407" t="str">
        <f t="shared" si="35"/>
        <v xml:space="preserve"> </v>
      </c>
      <c r="DS32" s="407" t="str">
        <f t="shared" si="35"/>
        <v xml:space="preserve"> </v>
      </c>
      <c r="DT32" s="407" t="str">
        <f t="shared" si="35"/>
        <v xml:space="preserve"> </v>
      </c>
      <c r="DU32" s="407" t="str">
        <f t="shared" si="35"/>
        <v xml:space="preserve"> </v>
      </c>
      <c r="DV32" s="407" t="str">
        <f t="shared" si="35"/>
        <v xml:space="preserve"> </v>
      </c>
      <c r="DW32" s="407" t="str">
        <f t="shared" si="35"/>
        <v xml:space="preserve"> </v>
      </c>
      <c r="DX32" s="407" t="str">
        <f t="shared" si="35"/>
        <v xml:space="preserve"> </v>
      </c>
      <c r="DY32" s="407" t="str">
        <f t="shared" si="35"/>
        <v xml:space="preserve"> </v>
      </c>
      <c r="DZ32" s="407" t="str">
        <f t="shared" si="35"/>
        <v xml:space="preserve"> </v>
      </c>
      <c r="EA32" s="407" t="str">
        <f t="shared" si="35"/>
        <v xml:space="preserve"> </v>
      </c>
      <c r="EB32" s="407" t="str">
        <f t="shared" si="35"/>
        <v xml:space="preserve"> </v>
      </c>
      <c r="EC32" s="407" t="str">
        <f t="shared" si="35"/>
        <v xml:space="preserve"> </v>
      </c>
      <c r="ED32" s="407" t="str">
        <f t="shared" si="35"/>
        <v xml:space="preserve"> </v>
      </c>
      <c r="EE32" s="407" t="str">
        <f t="shared" si="35"/>
        <v xml:space="preserve"> </v>
      </c>
    </row>
    <row r="33" spans="1:135" s="408" customFormat="1" x14ac:dyDescent="0.25">
      <c r="A33" s="390">
        <v>2</v>
      </c>
      <c r="B33" s="391" t="str">
        <f t="shared" si="25"/>
        <v>2.7</v>
      </c>
      <c r="C33" s="393" t="s">
        <v>915</v>
      </c>
      <c r="D33" s="393"/>
      <c r="E33" s="394"/>
      <c r="F33" s="409"/>
      <c r="G33" s="410"/>
      <c r="H33" s="410"/>
      <c r="I33" s="410"/>
      <c r="J33" s="411">
        <v>45597</v>
      </c>
      <c r="K33" s="412"/>
      <c r="L33" s="413"/>
      <c r="M33" s="411">
        <v>45688</v>
      </c>
      <c r="N33" s="414">
        <v>2</v>
      </c>
      <c r="O33" s="415">
        <v>0</v>
      </c>
      <c r="P33" s="401" t="s">
        <v>866</v>
      </c>
      <c r="Q33" s="402">
        <f t="shared" si="60"/>
        <v>45597</v>
      </c>
      <c r="R33" s="402">
        <f t="shared" si="27"/>
        <v>45688</v>
      </c>
      <c r="S33" s="403">
        <f t="shared" si="28"/>
        <v>60</v>
      </c>
      <c r="T33" s="403">
        <f t="shared" si="36"/>
        <v>92</v>
      </c>
      <c r="U33" s="404"/>
      <c r="V33" s="404"/>
      <c r="W33" s="405"/>
      <c r="X33" s="406" t="str">
        <f t="shared" si="29"/>
        <v xml:space="preserve"> </v>
      </c>
      <c r="Y33" s="406" t="str">
        <f t="shared" si="29"/>
        <v xml:space="preserve"> </v>
      </c>
      <c r="Z33" s="406" t="str">
        <f t="shared" si="29"/>
        <v xml:space="preserve"> </v>
      </c>
      <c r="AA33" s="406" t="str">
        <f t="shared" si="29"/>
        <v xml:space="preserve"> </v>
      </c>
      <c r="AB33" s="406" t="str">
        <f t="shared" si="29"/>
        <v xml:space="preserve"> </v>
      </c>
      <c r="AC33" s="406" t="str">
        <f t="shared" si="29"/>
        <v xml:space="preserve"> </v>
      </c>
      <c r="AD33" s="406" t="str">
        <f t="shared" si="29"/>
        <v xml:space="preserve"> </v>
      </c>
      <c r="AE33" s="406" t="str">
        <f t="shared" si="29"/>
        <v xml:space="preserve"> </v>
      </c>
      <c r="AF33" s="406" t="str">
        <f t="shared" si="29"/>
        <v xml:space="preserve"> </v>
      </c>
      <c r="AG33" s="406" t="str">
        <f t="shared" si="29"/>
        <v xml:space="preserve"> </v>
      </c>
      <c r="AH33" s="406" t="str">
        <f t="shared" si="29"/>
        <v xml:space="preserve"> </v>
      </c>
      <c r="AI33" s="406" t="str">
        <f t="shared" si="29"/>
        <v xml:space="preserve"> </v>
      </c>
      <c r="AJ33" s="406" t="str">
        <f t="shared" si="29"/>
        <v xml:space="preserve"> </v>
      </c>
      <c r="AK33" s="406" t="str">
        <f t="shared" si="29"/>
        <v xml:space="preserve"> </v>
      </c>
      <c r="AL33" s="406" t="str">
        <f t="shared" si="29"/>
        <v xml:space="preserve"> </v>
      </c>
      <c r="AM33" s="406" t="str">
        <f t="shared" si="29"/>
        <v xml:space="preserve"> </v>
      </c>
      <c r="AN33" s="406" t="str">
        <f t="shared" si="30"/>
        <v xml:space="preserve"> </v>
      </c>
      <c r="AO33" s="406" t="str">
        <f t="shared" si="30"/>
        <v xml:space="preserve"> </v>
      </c>
      <c r="AP33" s="406" t="str">
        <f t="shared" si="30"/>
        <v xml:space="preserve"> </v>
      </c>
      <c r="AQ33" s="406" t="str">
        <f t="shared" si="30"/>
        <v xml:space="preserve"> </v>
      </c>
      <c r="AR33" s="406" t="str">
        <f t="shared" si="30"/>
        <v xml:space="preserve"> </v>
      </c>
      <c r="AS33" s="406" t="str">
        <f t="shared" si="30"/>
        <v xml:space="preserve"> </v>
      </c>
      <c r="AT33" s="406" t="str">
        <f t="shared" si="30"/>
        <v xml:space="preserve"> </v>
      </c>
      <c r="AU33" s="406" t="str">
        <f t="shared" si="30"/>
        <v xml:space="preserve"> </v>
      </c>
      <c r="AV33" s="406" t="str">
        <f t="shared" si="30"/>
        <v xml:space="preserve"> </v>
      </c>
      <c r="AW33" s="406" t="str">
        <f t="shared" si="30"/>
        <v xml:space="preserve"> </v>
      </c>
      <c r="AX33" s="406" t="str">
        <f t="shared" si="30"/>
        <v xml:space="preserve"> </v>
      </c>
      <c r="AY33" s="406" t="str">
        <f t="shared" si="30"/>
        <v xml:space="preserve"> </v>
      </c>
      <c r="AZ33" s="406" t="str">
        <f t="shared" si="30"/>
        <v xml:space="preserve"> </v>
      </c>
      <c r="BA33" s="406" t="str">
        <f t="shared" si="30"/>
        <v xml:space="preserve"> </v>
      </c>
      <c r="BB33" s="406" t="str">
        <f t="shared" si="30"/>
        <v xml:space="preserve"> </v>
      </c>
      <c r="BC33" s="406" t="str">
        <f t="shared" si="30"/>
        <v xml:space="preserve"> </v>
      </c>
      <c r="BD33" s="406" t="str">
        <f t="shared" si="31"/>
        <v xml:space="preserve"> </v>
      </c>
      <c r="BE33" s="406" t="str">
        <f t="shared" si="31"/>
        <v xml:space="preserve"> </v>
      </c>
      <c r="BF33" s="406" t="str">
        <f t="shared" si="31"/>
        <v xml:space="preserve"> </v>
      </c>
      <c r="BG33" s="406" t="str">
        <f t="shared" si="31"/>
        <v xml:space="preserve"> </v>
      </c>
      <c r="BH33" s="406" t="str">
        <f t="shared" si="31"/>
        <v xml:space="preserve"> </v>
      </c>
      <c r="BI33" s="406" t="str">
        <f t="shared" si="31"/>
        <v xml:space="preserve"> </v>
      </c>
      <c r="BJ33" s="406" t="str">
        <f t="shared" si="31"/>
        <v xml:space="preserve"> </v>
      </c>
      <c r="BK33" s="406" t="str">
        <f t="shared" si="31"/>
        <v xml:space="preserve"> </v>
      </c>
      <c r="BL33" s="406" t="str">
        <f t="shared" si="31"/>
        <v xml:space="preserve"> </v>
      </c>
      <c r="BM33" s="406" t="str">
        <f t="shared" si="31"/>
        <v xml:space="preserve"> </v>
      </c>
      <c r="BN33" s="406" t="str">
        <f t="shared" si="31"/>
        <v xml:space="preserve"> </v>
      </c>
      <c r="BO33" s="406" t="str">
        <f t="shared" si="31"/>
        <v xml:space="preserve"> </v>
      </c>
      <c r="BP33" s="406" t="str">
        <f t="shared" si="31"/>
        <v xml:space="preserve"> </v>
      </c>
      <c r="BQ33" s="406" t="str">
        <f t="shared" si="31"/>
        <v xml:space="preserve"> </v>
      </c>
      <c r="BR33" s="406" t="str">
        <f t="shared" si="31"/>
        <v xml:space="preserve"> </v>
      </c>
      <c r="BS33" s="406" t="str">
        <f t="shared" si="31"/>
        <v xml:space="preserve"> </v>
      </c>
      <c r="BT33" s="406" t="str">
        <f t="shared" si="32"/>
        <v xml:space="preserve"> </v>
      </c>
      <c r="BU33" s="406" t="str">
        <f t="shared" si="32"/>
        <v xml:space="preserve"> </v>
      </c>
      <c r="BV33" s="406" t="str">
        <f t="shared" si="32"/>
        <v xml:space="preserve"> </v>
      </c>
      <c r="BW33" s="406" t="str">
        <f t="shared" si="32"/>
        <v xml:space="preserve"> </v>
      </c>
      <c r="BX33" s="406" t="str">
        <f t="shared" si="32"/>
        <v xml:space="preserve"> </v>
      </c>
      <c r="BY33" s="406" t="str">
        <f t="shared" si="32"/>
        <v xml:space="preserve"> </v>
      </c>
      <c r="BZ33" s="406" t="str">
        <f t="shared" si="32"/>
        <v xml:space="preserve"> </v>
      </c>
      <c r="CA33" s="406" t="str">
        <f t="shared" si="32"/>
        <v xml:space="preserve"> </v>
      </c>
      <c r="CB33" s="407" t="str">
        <f t="shared" si="32"/>
        <v xml:space="preserve"> </v>
      </c>
      <c r="CC33" s="407" t="str">
        <f t="shared" si="32"/>
        <v xml:space="preserve"> </v>
      </c>
      <c r="CD33" s="407" t="str">
        <f t="shared" si="32"/>
        <v xml:space="preserve"> </v>
      </c>
      <c r="CE33" s="407" t="str">
        <f t="shared" si="32"/>
        <v xml:space="preserve"> </v>
      </c>
      <c r="CF33" s="407" t="str">
        <f t="shared" si="32"/>
        <v xml:space="preserve"> </v>
      </c>
      <c r="CG33" s="407" t="str">
        <f t="shared" si="32"/>
        <v xml:space="preserve"> </v>
      </c>
      <c r="CH33" s="407" t="str">
        <f t="shared" si="32"/>
        <v xml:space="preserve"> </v>
      </c>
      <c r="CI33" s="407" t="str">
        <f t="shared" si="32"/>
        <v xml:space="preserve"> </v>
      </c>
      <c r="CJ33" s="407" t="str">
        <f t="shared" si="33"/>
        <v xml:space="preserve"> </v>
      </c>
      <c r="CK33" s="407" t="str">
        <f t="shared" si="33"/>
        <v xml:space="preserve"> </v>
      </c>
      <c r="CL33" s="407" t="str">
        <f t="shared" si="33"/>
        <v xml:space="preserve"> </v>
      </c>
      <c r="CM33" s="407" t="str">
        <f t="shared" si="33"/>
        <v xml:space="preserve"> </v>
      </c>
      <c r="CN33" s="407" t="str">
        <f t="shared" si="33"/>
        <v xml:space="preserve"> </v>
      </c>
      <c r="CO33" s="407" t="str">
        <f t="shared" si="33"/>
        <v xml:space="preserve"> </v>
      </c>
      <c r="CP33" s="407" t="str">
        <f t="shared" si="33"/>
        <v xml:space="preserve"> </v>
      </c>
      <c r="CQ33" s="407" t="str">
        <f t="shared" si="33"/>
        <v xml:space="preserve"> </v>
      </c>
      <c r="CR33" s="407" t="str">
        <f t="shared" si="33"/>
        <v xml:space="preserve"> </v>
      </c>
      <c r="CS33" s="407" t="str">
        <f t="shared" si="33"/>
        <v xml:space="preserve"> </v>
      </c>
      <c r="CT33" s="407" t="str">
        <f t="shared" si="33"/>
        <v xml:space="preserve"> </v>
      </c>
      <c r="CU33" s="407" t="str">
        <f t="shared" si="33"/>
        <v xml:space="preserve"> </v>
      </c>
      <c r="CV33" s="407" t="str">
        <f t="shared" si="33"/>
        <v xml:space="preserve"> </v>
      </c>
      <c r="CW33" s="407" t="str">
        <f t="shared" si="33"/>
        <v xml:space="preserve"> </v>
      </c>
      <c r="CX33" s="407" t="str">
        <f t="shared" si="33"/>
        <v xml:space="preserve"> </v>
      </c>
      <c r="CY33" s="407" t="str">
        <f t="shared" si="33"/>
        <v xml:space="preserve"> </v>
      </c>
      <c r="CZ33" s="407" t="str">
        <f t="shared" si="34"/>
        <v xml:space="preserve"> </v>
      </c>
      <c r="DA33" s="407" t="str">
        <f t="shared" si="34"/>
        <v xml:space="preserve"> </v>
      </c>
      <c r="DB33" s="407" t="str">
        <f t="shared" si="34"/>
        <v xml:space="preserve"> </v>
      </c>
      <c r="DC33" s="407" t="str">
        <f t="shared" si="34"/>
        <v xml:space="preserve"> </v>
      </c>
      <c r="DD33" s="407" t="str">
        <f t="shared" si="34"/>
        <v xml:space="preserve"> </v>
      </c>
      <c r="DE33" s="407" t="str">
        <f t="shared" si="34"/>
        <v xml:space="preserve"> </v>
      </c>
      <c r="DF33" s="407" t="str">
        <f t="shared" si="34"/>
        <v xml:space="preserve"> </v>
      </c>
      <c r="DG33" s="407" t="str">
        <f t="shared" si="34"/>
        <v xml:space="preserve"> </v>
      </c>
      <c r="DH33" s="407" t="str">
        <f t="shared" si="34"/>
        <v xml:space="preserve"> </v>
      </c>
      <c r="DI33" s="407" t="str">
        <f t="shared" si="34"/>
        <v xml:space="preserve"> </v>
      </c>
      <c r="DJ33" s="407" t="str">
        <f t="shared" si="34"/>
        <v xml:space="preserve"> </v>
      </c>
      <c r="DK33" s="407" t="str">
        <f t="shared" si="34"/>
        <v xml:space="preserve"> </v>
      </c>
      <c r="DL33" s="407" t="str">
        <f t="shared" si="34"/>
        <v xml:space="preserve"> </v>
      </c>
      <c r="DM33" s="407" t="str">
        <f t="shared" si="34"/>
        <v xml:space="preserve"> </v>
      </c>
      <c r="DN33" s="407" t="str">
        <f t="shared" si="34"/>
        <v xml:space="preserve"> </v>
      </c>
      <c r="DO33" s="407" t="str">
        <f t="shared" si="34"/>
        <v xml:space="preserve"> </v>
      </c>
      <c r="DP33" s="407" t="str">
        <f t="shared" si="34"/>
        <v xml:space="preserve"> </v>
      </c>
      <c r="DQ33" s="407" t="str">
        <f t="shared" si="35"/>
        <v xml:space="preserve"> </v>
      </c>
      <c r="DR33" s="407" t="str">
        <f t="shared" si="35"/>
        <v xml:space="preserve"> </v>
      </c>
      <c r="DS33" s="407" t="str">
        <f t="shared" si="35"/>
        <v xml:space="preserve"> </v>
      </c>
      <c r="DT33" s="407" t="str">
        <f t="shared" si="35"/>
        <v xml:space="preserve"> </v>
      </c>
      <c r="DU33" s="407" t="str">
        <f t="shared" si="35"/>
        <v xml:space="preserve"> </v>
      </c>
      <c r="DV33" s="407" t="str">
        <f t="shared" si="35"/>
        <v xml:space="preserve"> </v>
      </c>
      <c r="DW33" s="407" t="str">
        <f t="shared" si="35"/>
        <v xml:space="preserve"> </v>
      </c>
      <c r="DX33" s="407" t="str">
        <f t="shared" si="35"/>
        <v xml:space="preserve"> </v>
      </c>
      <c r="DY33" s="407" t="str">
        <f t="shared" si="35"/>
        <v xml:space="preserve"> </v>
      </c>
      <c r="DZ33" s="407" t="str">
        <f t="shared" si="35"/>
        <v xml:space="preserve"> </v>
      </c>
      <c r="EA33" s="407" t="str">
        <f t="shared" si="35"/>
        <v xml:space="preserve"> </v>
      </c>
      <c r="EB33" s="407" t="str">
        <f t="shared" si="35"/>
        <v xml:space="preserve"> </v>
      </c>
      <c r="EC33" s="407" t="str">
        <f t="shared" si="35"/>
        <v xml:space="preserve"> </v>
      </c>
      <c r="ED33" s="407" t="str">
        <f t="shared" si="35"/>
        <v xml:space="preserve"> </v>
      </c>
      <c r="EE33" s="407" t="str">
        <f t="shared" si="35"/>
        <v xml:space="preserve"> </v>
      </c>
    </row>
    <row r="34" spans="1:135" s="408" customFormat="1" x14ac:dyDescent="0.25">
      <c r="A34" s="390">
        <v>2</v>
      </c>
      <c r="B34" s="391" t="str">
        <f t="shared" si="25"/>
        <v>2.8</v>
      </c>
      <c r="C34" s="393" t="s">
        <v>916</v>
      </c>
      <c r="D34" s="393"/>
      <c r="E34" s="394"/>
      <c r="F34" s="409"/>
      <c r="G34" s="410"/>
      <c r="H34" s="410"/>
      <c r="I34" s="410"/>
      <c r="J34" s="411">
        <v>45688</v>
      </c>
      <c r="K34" s="412"/>
      <c r="L34" s="413"/>
      <c r="M34" s="411">
        <v>45688</v>
      </c>
      <c r="N34" s="414">
        <v>3</v>
      </c>
      <c r="O34" s="415">
        <v>0.25</v>
      </c>
      <c r="P34" s="401" t="s">
        <v>866</v>
      </c>
      <c r="Q34" s="402">
        <f t="shared" si="60"/>
        <v>45688</v>
      </c>
      <c r="R34" s="402">
        <f t="shared" si="27"/>
        <v>45688</v>
      </c>
      <c r="S34" s="403">
        <f t="shared" si="28"/>
        <v>1</v>
      </c>
      <c r="T34" s="403">
        <f t="shared" si="36"/>
        <v>1</v>
      </c>
      <c r="U34" s="404"/>
      <c r="V34" s="404"/>
      <c r="W34" s="405"/>
      <c r="X34" s="406" t="str">
        <f t="shared" si="29"/>
        <v xml:space="preserve"> </v>
      </c>
      <c r="Y34" s="406" t="str">
        <f t="shared" si="29"/>
        <v xml:space="preserve"> </v>
      </c>
      <c r="Z34" s="406" t="str">
        <f t="shared" si="29"/>
        <v xml:space="preserve"> </v>
      </c>
      <c r="AA34" s="406" t="str">
        <f t="shared" si="29"/>
        <v xml:space="preserve"> </v>
      </c>
      <c r="AB34" s="406" t="str">
        <f t="shared" si="29"/>
        <v xml:space="preserve"> </v>
      </c>
      <c r="AC34" s="406" t="str">
        <f t="shared" si="29"/>
        <v xml:space="preserve"> </v>
      </c>
      <c r="AD34" s="406" t="str">
        <f t="shared" si="29"/>
        <v xml:space="preserve"> </v>
      </c>
      <c r="AE34" s="406" t="str">
        <f t="shared" si="29"/>
        <v xml:space="preserve"> </v>
      </c>
      <c r="AF34" s="406" t="str">
        <f t="shared" si="29"/>
        <v xml:space="preserve"> </v>
      </c>
      <c r="AG34" s="406" t="str">
        <f t="shared" si="29"/>
        <v xml:space="preserve"> </v>
      </c>
      <c r="AH34" s="406" t="str">
        <f t="shared" si="29"/>
        <v xml:space="preserve"> </v>
      </c>
      <c r="AI34" s="406" t="str">
        <f t="shared" si="29"/>
        <v xml:space="preserve"> </v>
      </c>
      <c r="AJ34" s="406" t="str">
        <f t="shared" si="29"/>
        <v xml:space="preserve"> </v>
      </c>
      <c r="AK34" s="406" t="str">
        <f t="shared" si="29"/>
        <v xml:space="preserve"> </v>
      </c>
      <c r="AL34" s="406" t="str">
        <f t="shared" si="29"/>
        <v xml:space="preserve"> </v>
      </c>
      <c r="AM34" s="406" t="str">
        <f t="shared" ref="AH34:AW49" si="67">" "</f>
        <v xml:space="preserve"> </v>
      </c>
      <c r="AN34" s="406" t="str">
        <f t="shared" si="67"/>
        <v xml:space="preserve"> </v>
      </c>
      <c r="AO34" s="406" t="str">
        <f t="shared" si="67"/>
        <v xml:space="preserve"> </v>
      </c>
      <c r="AP34" s="406" t="str">
        <f t="shared" si="67"/>
        <v xml:space="preserve"> </v>
      </c>
      <c r="AQ34" s="406" t="str">
        <f t="shared" si="67"/>
        <v xml:space="preserve"> </v>
      </c>
      <c r="AR34" s="406" t="str">
        <f t="shared" si="30"/>
        <v xml:space="preserve"> </v>
      </c>
      <c r="AS34" s="406" t="str">
        <f t="shared" si="30"/>
        <v xml:space="preserve"> </v>
      </c>
      <c r="AT34" s="406" t="str">
        <f t="shared" si="30"/>
        <v xml:space="preserve"> </v>
      </c>
      <c r="AU34" s="406" t="str">
        <f t="shared" si="30"/>
        <v xml:space="preserve"> </v>
      </c>
      <c r="AV34" s="406" t="str">
        <f t="shared" si="30"/>
        <v xml:space="preserve"> </v>
      </c>
      <c r="AW34" s="406" t="str">
        <f t="shared" si="30"/>
        <v xml:space="preserve"> </v>
      </c>
      <c r="AX34" s="406" t="str">
        <f t="shared" si="30"/>
        <v xml:space="preserve"> </v>
      </c>
      <c r="AY34" s="406" t="str">
        <f t="shared" si="30"/>
        <v xml:space="preserve"> </v>
      </c>
      <c r="AZ34" s="406" t="str">
        <f t="shared" si="30"/>
        <v xml:space="preserve"> </v>
      </c>
      <c r="BA34" s="406" t="str">
        <f t="shared" si="30"/>
        <v xml:space="preserve"> </v>
      </c>
      <c r="BB34" s="406" t="str">
        <f t="shared" si="30"/>
        <v xml:space="preserve"> </v>
      </c>
      <c r="BC34" s="406" t="str">
        <f t="shared" si="30"/>
        <v xml:space="preserve"> </v>
      </c>
      <c r="BD34" s="406" t="str">
        <f t="shared" si="31"/>
        <v xml:space="preserve"> </v>
      </c>
      <c r="BE34" s="406" t="str">
        <f t="shared" si="31"/>
        <v xml:space="preserve"> </v>
      </c>
      <c r="BF34" s="406" t="str">
        <f t="shared" si="31"/>
        <v xml:space="preserve"> </v>
      </c>
      <c r="BG34" s="406" t="str">
        <f t="shared" si="31"/>
        <v xml:space="preserve"> </v>
      </c>
      <c r="BH34" s="406" t="str">
        <f t="shared" si="31"/>
        <v xml:space="preserve"> </v>
      </c>
      <c r="BI34" s="406" t="str">
        <f t="shared" si="31"/>
        <v xml:space="preserve"> </v>
      </c>
      <c r="BJ34" s="406" t="str">
        <f t="shared" si="31"/>
        <v xml:space="preserve"> </v>
      </c>
      <c r="BK34" s="406" t="str">
        <f t="shared" si="31"/>
        <v xml:space="preserve"> </v>
      </c>
      <c r="BL34" s="406" t="str">
        <f t="shared" si="31"/>
        <v xml:space="preserve"> </v>
      </c>
      <c r="BM34" s="406" t="str">
        <f t="shared" si="31"/>
        <v xml:space="preserve"> </v>
      </c>
      <c r="BN34" s="406" t="str">
        <f t="shared" si="31"/>
        <v xml:space="preserve"> </v>
      </c>
      <c r="BO34" s="406" t="str">
        <f t="shared" si="31"/>
        <v xml:space="preserve"> </v>
      </c>
      <c r="BP34" s="406" t="str">
        <f t="shared" si="31"/>
        <v xml:space="preserve"> </v>
      </c>
      <c r="BQ34" s="406" t="str">
        <f t="shared" si="31"/>
        <v xml:space="preserve"> </v>
      </c>
      <c r="BR34" s="406" t="str">
        <f t="shared" si="31"/>
        <v xml:space="preserve"> </v>
      </c>
      <c r="BS34" s="406" t="str">
        <f t="shared" ref="BS34:BU34" si="68">" "</f>
        <v xml:space="preserve"> </v>
      </c>
      <c r="BT34" s="406" t="str">
        <f t="shared" si="68"/>
        <v xml:space="preserve"> </v>
      </c>
      <c r="BU34" s="406" t="str">
        <f t="shared" si="68"/>
        <v xml:space="preserve"> </v>
      </c>
      <c r="BV34" s="406" t="str">
        <f t="shared" si="32"/>
        <v xml:space="preserve"> </v>
      </c>
      <c r="BW34" s="406" t="str">
        <f t="shared" si="32"/>
        <v xml:space="preserve"> </v>
      </c>
      <c r="BX34" s="406" t="str">
        <f t="shared" si="32"/>
        <v xml:space="preserve"> </v>
      </c>
      <c r="BY34" s="406" t="str">
        <f t="shared" si="32"/>
        <v xml:space="preserve"> </v>
      </c>
      <c r="BZ34" s="406" t="str">
        <f t="shared" si="32"/>
        <v xml:space="preserve"> </v>
      </c>
      <c r="CA34" s="406" t="str">
        <f t="shared" si="32"/>
        <v xml:space="preserve"> </v>
      </c>
      <c r="CB34" s="407" t="str">
        <f t="shared" si="32"/>
        <v xml:space="preserve"> </v>
      </c>
      <c r="CC34" s="407" t="str">
        <f t="shared" si="32"/>
        <v xml:space="preserve"> </v>
      </c>
      <c r="CD34" s="407" t="str">
        <f t="shared" si="32"/>
        <v xml:space="preserve"> </v>
      </c>
      <c r="CE34" s="407" t="str">
        <f t="shared" si="32"/>
        <v xml:space="preserve"> </v>
      </c>
      <c r="CF34" s="407" t="str">
        <f t="shared" si="32"/>
        <v xml:space="preserve"> </v>
      </c>
      <c r="CG34" s="407" t="str">
        <f t="shared" si="32"/>
        <v xml:space="preserve"> </v>
      </c>
      <c r="CH34" s="407" t="str">
        <f t="shared" si="32"/>
        <v xml:space="preserve"> </v>
      </c>
      <c r="CI34" s="407" t="str">
        <f t="shared" si="32"/>
        <v xml:space="preserve"> </v>
      </c>
      <c r="CJ34" s="407" t="str">
        <f t="shared" si="33"/>
        <v xml:space="preserve"> </v>
      </c>
      <c r="CK34" s="407" t="str">
        <f t="shared" si="33"/>
        <v xml:space="preserve"> </v>
      </c>
      <c r="CL34" s="407" t="str">
        <f t="shared" si="33"/>
        <v xml:space="preserve"> </v>
      </c>
      <c r="CM34" s="407" t="str">
        <f t="shared" si="33"/>
        <v xml:space="preserve"> </v>
      </c>
      <c r="CN34" s="407" t="str">
        <f t="shared" si="33"/>
        <v xml:space="preserve"> </v>
      </c>
      <c r="CO34" s="407" t="str">
        <f t="shared" si="33"/>
        <v xml:space="preserve"> </v>
      </c>
      <c r="CP34" s="407" t="str">
        <f t="shared" si="33"/>
        <v xml:space="preserve"> </v>
      </c>
      <c r="CQ34" s="407" t="str">
        <f t="shared" si="33"/>
        <v xml:space="preserve"> </v>
      </c>
      <c r="CR34" s="407" t="str">
        <f t="shared" si="33"/>
        <v xml:space="preserve"> </v>
      </c>
      <c r="CS34" s="407" t="str">
        <f t="shared" si="33"/>
        <v xml:space="preserve"> </v>
      </c>
      <c r="CT34" s="407" t="str">
        <f t="shared" si="33"/>
        <v xml:space="preserve"> </v>
      </c>
      <c r="CU34" s="407" t="str">
        <f t="shared" si="33"/>
        <v xml:space="preserve"> </v>
      </c>
      <c r="CV34" s="407" t="str">
        <f t="shared" si="33"/>
        <v xml:space="preserve"> </v>
      </c>
      <c r="CW34" s="407" t="str">
        <f t="shared" si="33"/>
        <v xml:space="preserve"> </v>
      </c>
      <c r="CX34" s="407" t="str">
        <f t="shared" si="33"/>
        <v xml:space="preserve"> </v>
      </c>
      <c r="CY34" s="407" t="str">
        <f t="shared" ref="CY34:DO49" si="69">" "</f>
        <v xml:space="preserve"> </v>
      </c>
      <c r="CZ34" s="407" t="str">
        <f t="shared" si="69"/>
        <v xml:space="preserve"> </v>
      </c>
      <c r="DA34" s="407" t="str">
        <f t="shared" si="69"/>
        <v xml:space="preserve"> </v>
      </c>
      <c r="DB34" s="407" t="str">
        <f t="shared" si="69"/>
        <v xml:space="preserve"> </v>
      </c>
      <c r="DC34" s="407" t="str">
        <f t="shared" si="69"/>
        <v xml:space="preserve"> </v>
      </c>
      <c r="DD34" s="407" t="str">
        <f t="shared" si="69"/>
        <v xml:space="preserve"> </v>
      </c>
      <c r="DE34" s="407" t="str">
        <f t="shared" si="69"/>
        <v xml:space="preserve"> </v>
      </c>
      <c r="DF34" s="407" t="str">
        <f t="shared" si="69"/>
        <v xml:space="preserve"> </v>
      </c>
      <c r="DG34" s="407" t="str">
        <f t="shared" si="69"/>
        <v xml:space="preserve"> </v>
      </c>
      <c r="DH34" s="407" t="str">
        <f t="shared" si="69"/>
        <v xml:space="preserve"> </v>
      </c>
      <c r="DI34" s="407" t="str">
        <f t="shared" si="69"/>
        <v xml:space="preserve"> </v>
      </c>
      <c r="DJ34" s="407" t="str">
        <f t="shared" si="69"/>
        <v xml:space="preserve"> </v>
      </c>
      <c r="DK34" s="407" t="str">
        <f t="shared" si="69"/>
        <v xml:space="preserve"> </v>
      </c>
      <c r="DL34" s="407" t="str">
        <f t="shared" si="69"/>
        <v xml:space="preserve"> </v>
      </c>
      <c r="DM34" s="407" t="str">
        <f t="shared" si="69"/>
        <v xml:space="preserve"> </v>
      </c>
      <c r="DN34" s="407" t="str">
        <f t="shared" si="69"/>
        <v xml:space="preserve"> </v>
      </c>
      <c r="DO34" s="407" t="str">
        <f t="shared" si="69"/>
        <v xml:space="preserve"> </v>
      </c>
      <c r="DP34" s="407" t="str">
        <f t="shared" ref="DP34:EE49" si="70">" "</f>
        <v xml:space="preserve"> </v>
      </c>
      <c r="DQ34" s="407" t="str">
        <f t="shared" si="70"/>
        <v xml:space="preserve"> </v>
      </c>
      <c r="DR34" s="407" t="str">
        <f t="shared" si="35"/>
        <v xml:space="preserve"> </v>
      </c>
      <c r="DS34" s="407" t="str">
        <f t="shared" si="35"/>
        <v xml:space="preserve"> </v>
      </c>
      <c r="DT34" s="407" t="str">
        <f t="shared" si="35"/>
        <v xml:space="preserve"> </v>
      </c>
      <c r="DU34" s="407" t="str">
        <f t="shared" si="35"/>
        <v xml:space="preserve"> </v>
      </c>
      <c r="DV34" s="407" t="str">
        <f t="shared" si="35"/>
        <v xml:space="preserve"> </v>
      </c>
      <c r="DW34" s="407" t="str">
        <f t="shared" si="35"/>
        <v xml:space="preserve"> </v>
      </c>
      <c r="DX34" s="407" t="str">
        <f t="shared" si="35"/>
        <v xml:space="preserve"> </v>
      </c>
      <c r="DY34" s="407" t="str">
        <f t="shared" si="35"/>
        <v xml:space="preserve"> </v>
      </c>
      <c r="DZ34" s="407" t="str">
        <f t="shared" si="35"/>
        <v xml:space="preserve"> </v>
      </c>
      <c r="EA34" s="407" t="str">
        <f t="shared" si="35"/>
        <v xml:space="preserve"> </v>
      </c>
      <c r="EB34" s="407" t="str">
        <f t="shared" si="35"/>
        <v xml:space="preserve"> </v>
      </c>
      <c r="EC34" s="407" t="str">
        <f t="shared" si="35"/>
        <v xml:space="preserve"> </v>
      </c>
      <c r="ED34" s="407" t="str">
        <f t="shared" si="35"/>
        <v xml:space="preserve"> </v>
      </c>
      <c r="EE34" s="407" t="str">
        <f t="shared" si="35"/>
        <v xml:space="preserve"> </v>
      </c>
    </row>
    <row r="35" spans="1:135" s="408" customFormat="1" x14ac:dyDescent="0.25">
      <c r="A35" s="390">
        <v>2</v>
      </c>
      <c r="B35" s="391" t="str">
        <f t="shared" si="25"/>
        <v>2.9</v>
      </c>
      <c r="C35" s="393" t="s">
        <v>917</v>
      </c>
      <c r="D35" s="393"/>
      <c r="E35" s="394"/>
      <c r="F35" s="409"/>
      <c r="G35" s="410"/>
      <c r="H35" s="410"/>
      <c r="I35" s="410"/>
      <c r="J35" s="411">
        <v>45566</v>
      </c>
      <c r="K35" s="412"/>
      <c r="L35" s="413"/>
      <c r="M35" s="411">
        <v>45597</v>
      </c>
      <c r="N35" s="414" t="s">
        <v>871</v>
      </c>
      <c r="O35" s="415">
        <v>0</v>
      </c>
      <c r="P35" s="401" t="s">
        <v>866</v>
      </c>
      <c r="Q35" s="402">
        <f t="shared" si="60"/>
        <v>45566</v>
      </c>
      <c r="R35" s="402">
        <f t="shared" si="27"/>
        <v>45597</v>
      </c>
      <c r="S35" s="403">
        <f t="shared" si="28"/>
        <v>23</v>
      </c>
      <c r="T35" s="403">
        <f t="shared" si="36"/>
        <v>32</v>
      </c>
      <c r="U35" s="404"/>
      <c r="V35" s="404"/>
      <c r="W35" s="405"/>
      <c r="X35" s="406" t="str">
        <f t="shared" ref="X35:AG49" si="71">" "</f>
        <v xml:space="preserve"> </v>
      </c>
      <c r="Y35" s="406" t="str">
        <f t="shared" si="71"/>
        <v xml:space="preserve"> </v>
      </c>
      <c r="Z35" s="406" t="str">
        <f t="shared" si="71"/>
        <v xml:space="preserve"> </v>
      </c>
      <c r="AA35" s="406" t="str">
        <f t="shared" si="71"/>
        <v xml:space="preserve"> </v>
      </c>
      <c r="AB35" s="406" t="str">
        <f t="shared" si="71"/>
        <v xml:space="preserve"> </v>
      </c>
      <c r="AC35" s="406" t="str">
        <f t="shared" si="71"/>
        <v xml:space="preserve"> </v>
      </c>
      <c r="AD35" s="406" t="str">
        <f t="shared" si="71"/>
        <v xml:space="preserve"> </v>
      </c>
      <c r="AE35" s="406" t="str">
        <f t="shared" si="71"/>
        <v xml:space="preserve"> </v>
      </c>
      <c r="AF35" s="406" t="str">
        <f t="shared" si="71"/>
        <v xml:space="preserve"> </v>
      </c>
      <c r="AG35" s="406" t="str">
        <f t="shared" si="71"/>
        <v xml:space="preserve"> </v>
      </c>
      <c r="AH35" s="406" t="str">
        <f t="shared" si="67"/>
        <v xml:space="preserve"> </v>
      </c>
      <c r="AI35" s="406" t="str">
        <f t="shared" si="67"/>
        <v xml:space="preserve"> </v>
      </c>
      <c r="AJ35" s="406" t="str">
        <f t="shared" si="67"/>
        <v xml:space="preserve"> </v>
      </c>
      <c r="AK35" s="406" t="str">
        <f t="shared" si="67"/>
        <v xml:space="preserve"> </v>
      </c>
      <c r="AL35" s="406" t="str">
        <f t="shared" si="67"/>
        <v xml:space="preserve"> </v>
      </c>
      <c r="AM35" s="406" t="str">
        <f t="shared" si="67"/>
        <v xml:space="preserve"> </v>
      </c>
      <c r="AN35" s="406" t="str">
        <f t="shared" si="67"/>
        <v xml:space="preserve"> </v>
      </c>
      <c r="AO35" s="406" t="str">
        <f t="shared" si="67"/>
        <v xml:space="preserve"> </v>
      </c>
      <c r="AP35" s="406" t="str">
        <f t="shared" si="67"/>
        <v xml:space="preserve"> </v>
      </c>
      <c r="AQ35" s="406" t="str">
        <f t="shared" si="67"/>
        <v xml:space="preserve"> </v>
      </c>
      <c r="AR35" s="406" t="str">
        <f t="shared" si="67"/>
        <v xml:space="preserve"> </v>
      </c>
      <c r="AS35" s="406" t="str">
        <f t="shared" si="67"/>
        <v xml:space="preserve"> </v>
      </c>
      <c r="AT35" s="406" t="str">
        <f t="shared" si="67"/>
        <v xml:space="preserve"> </v>
      </c>
      <c r="AU35" s="406" t="str">
        <f t="shared" si="67"/>
        <v xml:space="preserve"> </v>
      </c>
      <c r="AV35" s="406" t="str">
        <f t="shared" si="67"/>
        <v xml:space="preserve"> </v>
      </c>
      <c r="AW35" s="406" t="str">
        <f t="shared" si="67"/>
        <v xml:space="preserve"> </v>
      </c>
      <c r="AX35" s="406" t="str">
        <f t="shared" ref="AX35:BM49" si="72">" "</f>
        <v xml:space="preserve"> </v>
      </c>
      <c r="AY35" s="406" t="str">
        <f t="shared" si="72"/>
        <v xml:space="preserve"> </v>
      </c>
      <c r="AZ35" s="406" t="str">
        <f t="shared" si="72"/>
        <v xml:space="preserve"> </v>
      </c>
      <c r="BA35" s="406" t="str">
        <f t="shared" si="72"/>
        <v xml:space="preserve"> </v>
      </c>
      <c r="BB35" s="406" t="str">
        <f t="shared" si="72"/>
        <v xml:space="preserve"> </v>
      </c>
      <c r="BC35" s="406" t="str">
        <f t="shared" si="72"/>
        <v xml:space="preserve"> </v>
      </c>
      <c r="BD35" s="406" t="str">
        <f t="shared" si="72"/>
        <v xml:space="preserve"> </v>
      </c>
      <c r="BE35" s="406" t="str">
        <f t="shared" si="72"/>
        <v xml:space="preserve"> </v>
      </c>
      <c r="BF35" s="406" t="str">
        <f t="shared" si="72"/>
        <v xml:space="preserve"> </v>
      </c>
      <c r="BG35" s="406" t="str">
        <f t="shared" si="72"/>
        <v xml:space="preserve"> </v>
      </c>
      <c r="BH35" s="406" t="str">
        <f t="shared" si="72"/>
        <v xml:space="preserve"> </v>
      </c>
      <c r="BI35" s="406" t="str">
        <f t="shared" si="72"/>
        <v xml:space="preserve"> </v>
      </c>
      <c r="BJ35" s="406" t="str">
        <f t="shared" si="72"/>
        <v xml:space="preserve"> </v>
      </c>
      <c r="BK35" s="406" t="str">
        <f t="shared" si="72"/>
        <v xml:space="preserve"> </v>
      </c>
      <c r="BL35" s="406" t="str">
        <f t="shared" si="72"/>
        <v xml:space="preserve"> </v>
      </c>
      <c r="BM35" s="406" t="str">
        <f t="shared" si="72"/>
        <v xml:space="preserve"> </v>
      </c>
      <c r="BN35" s="406" t="str">
        <f t="shared" ref="BN35:CC47" si="73">" "</f>
        <v xml:space="preserve"> </v>
      </c>
      <c r="BO35" s="406" t="str">
        <f t="shared" si="73"/>
        <v xml:space="preserve"> </v>
      </c>
      <c r="BP35" s="406" t="str">
        <f t="shared" si="73"/>
        <v xml:space="preserve"> </v>
      </c>
      <c r="BQ35" s="406" t="str">
        <f t="shared" si="73"/>
        <v xml:space="preserve"> </v>
      </c>
      <c r="BR35" s="406" t="str">
        <f t="shared" si="73"/>
        <v xml:space="preserve"> </v>
      </c>
      <c r="BS35" s="406" t="str">
        <f t="shared" si="73"/>
        <v xml:space="preserve"> </v>
      </c>
      <c r="BT35" s="406" t="str">
        <f t="shared" si="73"/>
        <v xml:space="preserve"> </v>
      </c>
      <c r="BU35" s="406" t="str">
        <f t="shared" si="73"/>
        <v xml:space="preserve"> </v>
      </c>
      <c r="BV35" s="406" t="str">
        <f t="shared" si="73"/>
        <v xml:space="preserve"> </v>
      </c>
      <c r="BW35" s="406" t="str">
        <f t="shared" si="73"/>
        <v xml:space="preserve"> </v>
      </c>
      <c r="BX35" s="406" t="str">
        <f t="shared" si="73"/>
        <v xml:space="preserve"> </v>
      </c>
      <c r="BY35" s="406" t="str">
        <f t="shared" si="73"/>
        <v xml:space="preserve"> </v>
      </c>
      <c r="BZ35" s="406" t="str">
        <f t="shared" si="73"/>
        <v xml:space="preserve"> </v>
      </c>
      <c r="CA35" s="406" t="str">
        <f t="shared" si="73"/>
        <v xml:space="preserve"> </v>
      </c>
      <c r="CB35" s="407" t="str">
        <f t="shared" si="73"/>
        <v xml:space="preserve"> </v>
      </c>
      <c r="CC35" s="407" t="str">
        <f t="shared" si="73"/>
        <v xml:space="preserve"> </v>
      </c>
      <c r="CD35" s="407" t="str">
        <f t="shared" ref="CD35:CS49" si="74">" "</f>
        <v xml:space="preserve"> </v>
      </c>
      <c r="CE35" s="407" t="str">
        <f t="shared" si="74"/>
        <v xml:space="preserve"> </v>
      </c>
      <c r="CF35" s="407" t="str">
        <f t="shared" si="74"/>
        <v xml:space="preserve"> </v>
      </c>
      <c r="CG35" s="407" t="str">
        <f t="shared" si="74"/>
        <v xml:space="preserve"> </v>
      </c>
      <c r="CH35" s="407" t="str">
        <f t="shared" si="74"/>
        <v xml:space="preserve"> </v>
      </c>
      <c r="CI35" s="407" t="str">
        <f t="shared" si="74"/>
        <v xml:space="preserve"> </v>
      </c>
      <c r="CJ35" s="407" t="str">
        <f t="shared" si="74"/>
        <v xml:space="preserve"> </v>
      </c>
      <c r="CK35" s="407" t="str">
        <f t="shared" si="74"/>
        <v xml:space="preserve"> </v>
      </c>
      <c r="CL35" s="407" t="str">
        <f t="shared" si="74"/>
        <v xml:space="preserve"> </v>
      </c>
      <c r="CM35" s="407" t="str">
        <f t="shared" si="74"/>
        <v xml:space="preserve"> </v>
      </c>
      <c r="CN35" s="407" t="str">
        <f t="shared" si="74"/>
        <v xml:space="preserve"> </v>
      </c>
      <c r="CO35" s="407" t="str">
        <f t="shared" si="74"/>
        <v xml:space="preserve"> </v>
      </c>
      <c r="CP35" s="407" t="str">
        <f t="shared" si="74"/>
        <v xml:space="preserve"> </v>
      </c>
      <c r="CQ35" s="407" t="str">
        <f t="shared" si="74"/>
        <v xml:space="preserve"> </v>
      </c>
      <c r="CR35" s="407" t="str">
        <f t="shared" si="74"/>
        <v xml:space="preserve"> </v>
      </c>
      <c r="CS35" s="407" t="str">
        <f t="shared" si="74"/>
        <v xml:space="preserve"> </v>
      </c>
      <c r="CT35" s="407" t="str">
        <f t="shared" ref="CT35:DC49" si="75">" "</f>
        <v xml:space="preserve"> </v>
      </c>
      <c r="CU35" s="407" t="str">
        <f t="shared" si="75"/>
        <v xml:space="preserve"> </v>
      </c>
      <c r="CV35" s="407" t="str">
        <f t="shared" si="75"/>
        <v xml:space="preserve"> </v>
      </c>
      <c r="CW35" s="407" t="str">
        <f t="shared" si="75"/>
        <v xml:space="preserve"> </v>
      </c>
      <c r="CX35" s="407" t="str">
        <f t="shared" si="75"/>
        <v xml:space="preserve"> </v>
      </c>
      <c r="CY35" s="407" t="str">
        <f t="shared" si="69"/>
        <v xml:space="preserve"> </v>
      </c>
      <c r="CZ35" s="407" t="str">
        <f t="shared" si="69"/>
        <v xml:space="preserve"> </v>
      </c>
      <c r="DA35" s="407" t="str">
        <f t="shared" si="69"/>
        <v xml:space="preserve"> </v>
      </c>
      <c r="DB35" s="407" t="str">
        <f t="shared" si="69"/>
        <v xml:space="preserve"> </v>
      </c>
      <c r="DC35" s="407" t="str">
        <f t="shared" si="69"/>
        <v xml:space="preserve"> </v>
      </c>
      <c r="DD35" s="407" t="str">
        <f t="shared" si="69"/>
        <v xml:space="preserve"> </v>
      </c>
      <c r="DE35" s="407" t="str">
        <f t="shared" si="69"/>
        <v xml:space="preserve"> </v>
      </c>
      <c r="DF35" s="407" t="str">
        <f t="shared" si="69"/>
        <v xml:space="preserve"> </v>
      </c>
      <c r="DG35" s="407" t="str">
        <f t="shared" si="69"/>
        <v xml:space="preserve"> </v>
      </c>
      <c r="DH35" s="407" t="str">
        <f t="shared" si="69"/>
        <v xml:space="preserve"> </v>
      </c>
      <c r="DI35" s="407" t="str">
        <f t="shared" si="69"/>
        <v xml:space="preserve"> </v>
      </c>
      <c r="DJ35" s="407" t="str">
        <f t="shared" si="69"/>
        <v xml:space="preserve"> </v>
      </c>
      <c r="DK35" s="407" t="str">
        <f t="shared" si="69"/>
        <v xml:space="preserve"> </v>
      </c>
      <c r="DL35" s="407" t="str">
        <f t="shared" si="69"/>
        <v xml:space="preserve"> </v>
      </c>
      <c r="DM35" s="407" t="str">
        <f t="shared" si="69"/>
        <v xml:space="preserve"> </v>
      </c>
      <c r="DN35" s="407" t="str">
        <f t="shared" si="69"/>
        <v xml:space="preserve"> </v>
      </c>
      <c r="DO35" s="407" t="str">
        <f t="shared" si="69"/>
        <v xml:space="preserve"> </v>
      </c>
      <c r="DP35" s="407" t="str">
        <f t="shared" si="70"/>
        <v xml:space="preserve"> </v>
      </c>
      <c r="DQ35" s="407" t="str">
        <f t="shared" si="70"/>
        <v xml:space="preserve"> </v>
      </c>
      <c r="DR35" s="407" t="str">
        <f t="shared" si="70"/>
        <v xml:space="preserve"> </v>
      </c>
      <c r="DS35" s="407" t="str">
        <f t="shared" si="70"/>
        <v xml:space="preserve"> </v>
      </c>
      <c r="DT35" s="407" t="str">
        <f t="shared" si="70"/>
        <v xml:space="preserve"> </v>
      </c>
      <c r="DU35" s="407" t="str">
        <f t="shared" si="70"/>
        <v xml:space="preserve"> </v>
      </c>
      <c r="DV35" s="407" t="str">
        <f t="shared" si="70"/>
        <v xml:space="preserve"> </v>
      </c>
      <c r="DW35" s="407" t="str">
        <f t="shared" si="70"/>
        <v xml:space="preserve"> </v>
      </c>
      <c r="DX35" s="407" t="str">
        <f t="shared" si="70"/>
        <v xml:space="preserve"> </v>
      </c>
      <c r="DY35" s="407" t="str">
        <f t="shared" si="70"/>
        <v xml:space="preserve"> </v>
      </c>
      <c r="DZ35" s="407" t="str">
        <f t="shared" si="70"/>
        <v xml:space="preserve"> </v>
      </c>
      <c r="EA35" s="407" t="str">
        <f t="shared" si="70"/>
        <v xml:space="preserve"> </v>
      </c>
      <c r="EB35" s="407" t="str">
        <f t="shared" si="70"/>
        <v xml:space="preserve"> </v>
      </c>
      <c r="EC35" s="407" t="str">
        <f t="shared" si="70"/>
        <v xml:space="preserve"> </v>
      </c>
      <c r="ED35" s="407" t="str">
        <f t="shared" si="70"/>
        <v xml:space="preserve"> </v>
      </c>
      <c r="EE35" s="407" t="str">
        <f t="shared" si="70"/>
        <v xml:space="preserve"> </v>
      </c>
    </row>
    <row r="36" spans="1:135" s="408" customFormat="1" x14ac:dyDescent="0.25">
      <c r="A36" s="390">
        <v>1</v>
      </c>
      <c r="B36" s="391" t="str">
        <f t="shared" si="25"/>
        <v>3</v>
      </c>
      <c r="C36" s="392" t="s">
        <v>824</v>
      </c>
      <c r="D36" s="393"/>
      <c r="E36" s="394"/>
      <c r="F36" s="409"/>
      <c r="G36" s="410"/>
      <c r="H36" s="410"/>
      <c r="I36" s="410"/>
      <c r="J36" s="534">
        <f>MIN(Q37:Q44)</f>
        <v>45536</v>
      </c>
      <c r="K36" s="412"/>
      <c r="L36" s="413"/>
      <c r="M36" s="534">
        <f>MAX(R37:R44)</f>
        <v>45777</v>
      </c>
      <c r="N36" s="399" t="s">
        <v>863</v>
      </c>
      <c r="O36" s="415">
        <v>0</v>
      </c>
      <c r="P36" s="401"/>
      <c r="Q36" s="402">
        <f t="shared" si="60"/>
        <v>45536</v>
      </c>
      <c r="R36" s="402">
        <f t="shared" si="27"/>
        <v>45777</v>
      </c>
      <c r="S36" s="403">
        <f t="shared" si="28"/>
        <v>162</v>
      </c>
      <c r="T36" s="403">
        <f t="shared" si="36"/>
        <v>242</v>
      </c>
      <c r="U36" s="404"/>
      <c r="V36" s="404"/>
      <c r="W36" s="405"/>
      <c r="X36" s="406" t="str">
        <f t="shared" si="71"/>
        <v xml:space="preserve"> </v>
      </c>
      <c r="Y36" s="406" t="str">
        <f t="shared" si="71"/>
        <v xml:space="preserve"> </v>
      </c>
      <c r="Z36" s="406" t="str">
        <f t="shared" si="71"/>
        <v xml:space="preserve"> </v>
      </c>
      <c r="AA36" s="406" t="str">
        <f t="shared" si="71"/>
        <v xml:space="preserve"> </v>
      </c>
      <c r="AB36" s="406" t="str">
        <f t="shared" si="71"/>
        <v xml:space="preserve"> </v>
      </c>
      <c r="AC36" s="406" t="str">
        <f t="shared" si="71"/>
        <v xml:space="preserve"> </v>
      </c>
      <c r="AD36" s="406" t="str">
        <f t="shared" si="71"/>
        <v xml:space="preserve"> </v>
      </c>
      <c r="AE36" s="406" t="str">
        <f t="shared" si="71"/>
        <v xml:space="preserve"> </v>
      </c>
      <c r="AF36" s="406" t="str">
        <f t="shared" si="71"/>
        <v xml:space="preserve"> </v>
      </c>
      <c r="AG36" s="406" t="str">
        <f t="shared" si="71"/>
        <v xml:space="preserve"> </v>
      </c>
      <c r="AH36" s="406" t="str">
        <f t="shared" si="67"/>
        <v xml:space="preserve"> </v>
      </c>
      <c r="AI36" s="406" t="str">
        <f t="shared" si="67"/>
        <v xml:space="preserve"> </v>
      </c>
      <c r="AJ36" s="406" t="str">
        <f t="shared" si="67"/>
        <v xml:space="preserve"> </v>
      </c>
      <c r="AK36" s="406" t="str">
        <f t="shared" si="67"/>
        <v xml:space="preserve"> </v>
      </c>
      <c r="AL36" s="406" t="str">
        <f t="shared" si="67"/>
        <v xml:space="preserve"> </v>
      </c>
      <c r="AM36" s="406" t="str">
        <f t="shared" si="67"/>
        <v xml:space="preserve"> </v>
      </c>
      <c r="AN36" s="406" t="str">
        <f t="shared" si="67"/>
        <v xml:space="preserve"> </v>
      </c>
      <c r="AO36" s="406" t="str">
        <f t="shared" si="67"/>
        <v xml:space="preserve"> </v>
      </c>
      <c r="AP36" s="406" t="str">
        <f t="shared" si="67"/>
        <v xml:space="preserve"> </v>
      </c>
      <c r="AQ36" s="406" t="str">
        <f t="shared" si="67"/>
        <v xml:space="preserve"> </v>
      </c>
      <c r="AR36" s="406" t="str">
        <f t="shared" si="67"/>
        <v xml:space="preserve"> </v>
      </c>
      <c r="AS36" s="406" t="str">
        <f t="shared" si="67"/>
        <v xml:space="preserve"> </v>
      </c>
      <c r="AT36" s="406" t="str">
        <f t="shared" si="67"/>
        <v xml:space="preserve"> </v>
      </c>
      <c r="AU36" s="406" t="str">
        <f t="shared" si="67"/>
        <v xml:space="preserve"> </v>
      </c>
      <c r="AV36" s="406" t="str">
        <f t="shared" si="67"/>
        <v xml:space="preserve"> </v>
      </c>
      <c r="AW36" s="406" t="str">
        <f t="shared" si="67"/>
        <v xml:space="preserve"> </v>
      </c>
      <c r="AX36" s="406" t="str">
        <f t="shared" si="72"/>
        <v xml:space="preserve"> </v>
      </c>
      <c r="AY36" s="406" t="str">
        <f t="shared" si="72"/>
        <v xml:space="preserve"> </v>
      </c>
      <c r="AZ36" s="406" t="str">
        <f t="shared" si="72"/>
        <v xml:space="preserve"> </v>
      </c>
      <c r="BA36" s="406" t="str">
        <f t="shared" si="72"/>
        <v xml:space="preserve"> </v>
      </c>
      <c r="BB36" s="406" t="str">
        <f t="shared" si="72"/>
        <v xml:space="preserve"> </v>
      </c>
      <c r="BC36" s="406" t="str">
        <f t="shared" si="72"/>
        <v xml:space="preserve"> </v>
      </c>
      <c r="BD36" s="406" t="str">
        <f t="shared" si="72"/>
        <v xml:space="preserve"> </v>
      </c>
      <c r="BE36" s="406" t="str">
        <f t="shared" si="72"/>
        <v xml:space="preserve"> </v>
      </c>
      <c r="BF36" s="406" t="str">
        <f t="shared" si="72"/>
        <v xml:space="preserve"> </v>
      </c>
      <c r="BG36" s="406" t="str">
        <f t="shared" si="72"/>
        <v xml:space="preserve"> </v>
      </c>
      <c r="BH36" s="406" t="str">
        <f t="shared" si="72"/>
        <v xml:space="preserve"> </v>
      </c>
      <c r="BI36" s="406" t="str">
        <f t="shared" si="72"/>
        <v xml:space="preserve"> </v>
      </c>
      <c r="BJ36" s="406" t="str">
        <f t="shared" si="72"/>
        <v xml:space="preserve"> </v>
      </c>
      <c r="BK36" s="406" t="str">
        <f t="shared" si="72"/>
        <v xml:space="preserve"> </v>
      </c>
      <c r="BL36" s="406" t="str">
        <f t="shared" si="72"/>
        <v xml:space="preserve"> </v>
      </c>
      <c r="BM36" s="406" t="str">
        <f t="shared" si="72"/>
        <v xml:space="preserve"> </v>
      </c>
      <c r="BN36" s="406" t="str">
        <f t="shared" si="73"/>
        <v xml:space="preserve"> </v>
      </c>
      <c r="BO36" s="406" t="str">
        <f t="shared" si="73"/>
        <v xml:space="preserve"> </v>
      </c>
      <c r="BP36" s="406" t="str">
        <f t="shared" si="73"/>
        <v xml:space="preserve"> </v>
      </c>
      <c r="BQ36" s="406" t="str">
        <f t="shared" si="73"/>
        <v xml:space="preserve"> </v>
      </c>
      <c r="BR36" s="406" t="str">
        <f t="shared" si="73"/>
        <v xml:space="preserve"> </v>
      </c>
      <c r="BS36" s="406" t="str">
        <f t="shared" si="73"/>
        <v xml:space="preserve"> </v>
      </c>
      <c r="BT36" s="406" t="str">
        <f t="shared" si="73"/>
        <v xml:space="preserve"> </v>
      </c>
      <c r="BU36" s="406" t="str">
        <f t="shared" si="73"/>
        <v xml:space="preserve"> </v>
      </c>
      <c r="BV36" s="406" t="str">
        <f t="shared" si="73"/>
        <v xml:space="preserve"> </v>
      </c>
      <c r="BW36" s="406" t="str">
        <f t="shared" si="73"/>
        <v xml:space="preserve"> </v>
      </c>
      <c r="BX36" s="406" t="str">
        <f t="shared" si="73"/>
        <v xml:space="preserve"> </v>
      </c>
      <c r="BY36" s="406" t="str">
        <f t="shared" si="73"/>
        <v xml:space="preserve"> </v>
      </c>
      <c r="BZ36" s="406" t="str">
        <f t="shared" si="73"/>
        <v xml:space="preserve"> </v>
      </c>
      <c r="CA36" s="406" t="str">
        <f t="shared" si="73"/>
        <v xml:space="preserve"> </v>
      </c>
      <c r="CB36" s="407" t="str">
        <f t="shared" si="73"/>
        <v xml:space="preserve"> </v>
      </c>
      <c r="CC36" s="407" t="str">
        <f t="shared" si="73"/>
        <v xml:space="preserve"> </v>
      </c>
      <c r="CD36" s="407" t="str">
        <f t="shared" si="74"/>
        <v xml:space="preserve"> </v>
      </c>
      <c r="CE36" s="407" t="str">
        <f t="shared" si="74"/>
        <v xml:space="preserve"> </v>
      </c>
      <c r="CF36" s="407" t="str">
        <f t="shared" si="74"/>
        <v xml:space="preserve"> </v>
      </c>
      <c r="CG36" s="407" t="str">
        <f t="shared" si="74"/>
        <v xml:space="preserve"> </v>
      </c>
      <c r="CH36" s="407" t="str">
        <f t="shared" si="74"/>
        <v xml:space="preserve"> </v>
      </c>
      <c r="CI36" s="407" t="str">
        <f t="shared" si="74"/>
        <v xml:space="preserve"> </v>
      </c>
      <c r="CJ36" s="407" t="str">
        <f t="shared" si="74"/>
        <v xml:space="preserve"> </v>
      </c>
      <c r="CK36" s="407" t="str">
        <f t="shared" si="74"/>
        <v xml:space="preserve"> </v>
      </c>
      <c r="CL36" s="407" t="str">
        <f t="shared" si="74"/>
        <v xml:space="preserve"> </v>
      </c>
      <c r="CM36" s="407" t="str">
        <f t="shared" si="74"/>
        <v xml:space="preserve"> </v>
      </c>
      <c r="CN36" s="407" t="str">
        <f t="shared" si="74"/>
        <v xml:space="preserve"> </v>
      </c>
      <c r="CO36" s="407" t="str">
        <f t="shared" si="74"/>
        <v xml:space="preserve"> </v>
      </c>
      <c r="CP36" s="407" t="str">
        <f t="shared" si="74"/>
        <v xml:space="preserve"> </v>
      </c>
      <c r="CQ36" s="407" t="str">
        <f t="shared" si="74"/>
        <v xml:space="preserve"> </v>
      </c>
      <c r="CR36" s="407" t="str">
        <f t="shared" si="74"/>
        <v xml:space="preserve"> </v>
      </c>
      <c r="CS36" s="407" t="str">
        <f t="shared" si="74"/>
        <v xml:space="preserve"> </v>
      </c>
      <c r="CT36" s="407" t="str">
        <f t="shared" si="75"/>
        <v xml:space="preserve"> </v>
      </c>
      <c r="CU36" s="407" t="str">
        <f t="shared" si="75"/>
        <v xml:space="preserve"> </v>
      </c>
      <c r="CV36" s="407" t="str">
        <f t="shared" si="75"/>
        <v xml:space="preserve"> </v>
      </c>
      <c r="CW36" s="407" t="str">
        <f t="shared" si="75"/>
        <v xml:space="preserve"> </v>
      </c>
      <c r="CX36" s="407" t="str">
        <f t="shared" si="75"/>
        <v xml:space="preserve"> </v>
      </c>
      <c r="CY36" s="407" t="str">
        <f t="shared" si="75"/>
        <v xml:space="preserve"> </v>
      </c>
      <c r="CZ36" s="407" t="str">
        <f t="shared" si="75"/>
        <v xml:space="preserve"> </v>
      </c>
      <c r="DA36" s="407" t="str">
        <f t="shared" si="75"/>
        <v xml:space="preserve"> </v>
      </c>
      <c r="DB36" s="407" t="str">
        <f t="shared" si="75"/>
        <v xml:space="preserve"> </v>
      </c>
      <c r="DC36" s="407" t="str">
        <f t="shared" si="75"/>
        <v xml:space="preserve"> </v>
      </c>
      <c r="DD36" s="407" t="str">
        <f t="shared" si="69"/>
        <v xml:space="preserve"> </v>
      </c>
      <c r="DE36" s="407" t="str">
        <f t="shared" si="69"/>
        <v xml:space="preserve"> </v>
      </c>
      <c r="DF36" s="407" t="str">
        <f t="shared" si="69"/>
        <v xml:space="preserve"> </v>
      </c>
      <c r="DG36" s="407" t="str">
        <f t="shared" si="69"/>
        <v xml:space="preserve"> </v>
      </c>
      <c r="DH36" s="407" t="str">
        <f t="shared" si="69"/>
        <v xml:space="preserve"> </v>
      </c>
      <c r="DI36" s="407" t="str">
        <f t="shared" si="69"/>
        <v xml:space="preserve"> </v>
      </c>
      <c r="DJ36" s="407" t="str">
        <f t="shared" si="69"/>
        <v xml:space="preserve"> </v>
      </c>
      <c r="DK36" s="407" t="str">
        <f t="shared" si="69"/>
        <v xml:space="preserve"> </v>
      </c>
      <c r="DL36" s="407" t="str">
        <f t="shared" si="69"/>
        <v xml:space="preserve"> </v>
      </c>
      <c r="DM36" s="407" t="str">
        <f t="shared" si="69"/>
        <v xml:space="preserve"> </v>
      </c>
      <c r="DN36" s="407" t="str">
        <f t="shared" si="69"/>
        <v xml:space="preserve"> </v>
      </c>
      <c r="DO36" s="407" t="str">
        <f t="shared" si="69"/>
        <v xml:space="preserve"> </v>
      </c>
      <c r="DP36" s="407" t="str">
        <f t="shared" si="70"/>
        <v xml:space="preserve"> </v>
      </c>
      <c r="DQ36" s="407" t="str">
        <f t="shared" si="70"/>
        <v xml:space="preserve"> </v>
      </c>
      <c r="DR36" s="407" t="str">
        <f t="shared" si="70"/>
        <v xml:space="preserve"> </v>
      </c>
      <c r="DS36" s="407" t="str">
        <f t="shared" si="70"/>
        <v xml:space="preserve"> </v>
      </c>
      <c r="DT36" s="407" t="str">
        <f t="shared" si="70"/>
        <v xml:space="preserve"> </v>
      </c>
      <c r="DU36" s="407" t="str">
        <f t="shared" si="70"/>
        <v xml:space="preserve"> </v>
      </c>
      <c r="DV36" s="407" t="str">
        <f t="shared" si="70"/>
        <v xml:space="preserve"> </v>
      </c>
      <c r="DW36" s="407" t="str">
        <f t="shared" si="70"/>
        <v xml:space="preserve"> </v>
      </c>
      <c r="DX36" s="407" t="str">
        <f t="shared" si="70"/>
        <v xml:space="preserve"> </v>
      </c>
      <c r="DY36" s="407" t="str">
        <f t="shared" si="70"/>
        <v xml:space="preserve"> </v>
      </c>
      <c r="DZ36" s="407" t="str">
        <f t="shared" si="70"/>
        <v xml:space="preserve"> </v>
      </c>
      <c r="EA36" s="407" t="str">
        <f t="shared" si="70"/>
        <v xml:space="preserve"> </v>
      </c>
      <c r="EB36" s="407" t="str">
        <f t="shared" si="70"/>
        <v xml:space="preserve"> </v>
      </c>
      <c r="EC36" s="407" t="str">
        <f t="shared" si="70"/>
        <v xml:space="preserve"> </v>
      </c>
      <c r="ED36" s="407" t="str">
        <f t="shared" si="70"/>
        <v xml:space="preserve"> </v>
      </c>
      <c r="EE36" s="407" t="str">
        <f t="shared" si="70"/>
        <v xml:space="preserve"> </v>
      </c>
    </row>
    <row r="37" spans="1:135" s="408" customFormat="1" x14ac:dyDescent="0.25">
      <c r="A37" s="390">
        <v>2</v>
      </c>
      <c r="B37" s="391" t="str">
        <f t="shared" si="25"/>
        <v>3.1</v>
      </c>
      <c r="C37" s="408" t="s">
        <v>25</v>
      </c>
      <c r="D37" s="393"/>
      <c r="E37" s="394"/>
      <c r="F37" s="409"/>
      <c r="G37" s="410"/>
      <c r="H37" s="410"/>
      <c r="I37" s="410"/>
      <c r="J37" s="411">
        <v>45536</v>
      </c>
      <c r="K37" s="412"/>
      <c r="L37" s="413"/>
      <c r="M37" s="411">
        <v>45658</v>
      </c>
      <c r="N37" s="414" t="s">
        <v>864</v>
      </c>
      <c r="O37" s="415">
        <v>0</v>
      </c>
      <c r="P37" s="401">
        <v>3</v>
      </c>
      <c r="Q37" s="402">
        <f t="shared" si="60"/>
        <v>45536</v>
      </c>
      <c r="R37" s="402">
        <f t="shared" ref="R37" si="76">IF(Q37=" - "," - ",MAX(M37,IF(L37&lt;&gt;"",Q37+MAX(0,L37-1),WORKDAY.INTL(IF(NETWORKDAYS.INTL(Q37,Q37,weekend,holidays)=0,WORKDAY.INTL(Q37,1,weekend,holidays),Q37),MAX(0,K37-1),weekend,holidays))))</f>
        <v>45658</v>
      </c>
      <c r="S37" s="403">
        <f t="shared" ref="S37" si="77">IF(OR(NOT(ISNUMBER(Q37)),NOT(ISNUMBER(R37)))," - ",NETWORKDAYS.INTL(Q37,R37,weekend,holidays))</f>
        <v>81</v>
      </c>
      <c r="T37" s="403">
        <f t="shared" si="36"/>
        <v>123</v>
      </c>
      <c r="U37" s="404"/>
      <c r="V37" s="404"/>
      <c r="W37" s="405"/>
      <c r="X37" s="406" t="str">
        <f t="shared" si="71"/>
        <v xml:space="preserve"> </v>
      </c>
      <c r="Y37" s="406" t="str">
        <f t="shared" si="71"/>
        <v xml:space="preserve"> </v>
      </c>
      <c r="Z37" s="406" t="str">
        <f t="shared" si="71"/>
        <v xml:space="preserve"> </v>
      </c>
      <c r="AA37" s="406" t="str">
        <f t="shared" si="71"/>
        <v xml:space="preserve"> </v>
      </c>
      <c r="AB37" s="406" t="str">
        <f t="shared" si="71"/>
        <v xml:space="preserve"> </v>
      </c>
      <c r="AC37" s="406" t="str">
        <f t="shared" si="71"/>
        <v xml:space="preserve"> </v>
      </c>
      <c r="AD37" s="406" t="str">
        <f t="shared" si="71"/>
        <v xml:space="preserve"> </v>
      </c>
      <c r="AE37" s="406" t="str">
        <f t="shared" si="71"/>
        <v xml:space="preserve"> </v>
      </c>
      <c r="AF37" s="406" t="str">
        <f t="shared" si="71"/>
        <v xml:space="preserve"> </v>
      </c>
      <c r="AG37" s="406" t="str">
        <f t="shared" si="71"/>
        <v xml:space="preserve"> </v>
      </c>
      <c r="AH37" s="406" t="str">
        <f t="shared" si="67"/>
        <v xml:space="preserve"> </v>
      </c>
      <c r="AI37" s="406" t="str">
        <f t="shared" si="67"/>
        <v xml:space="preserve"> </v>
      </c>
      <c r="AJ37" s="406" t="str">
        <f t="shared" si="67"/>
        <v xml:space="preserve"> </v>
      </c>
      <c r="AK37" s="406" t="str">
        <f t="shared" si="67"/>
        <v xml:space="preserve"> </v>
      </c>
      <c r="AL37" s="406" t="str">
        <f t="shared" si="67"/>
        <v xml:space="preserve"> </v>
      </c>
      <c r="AM37" s="406" t="str">
        <f t="shared" si="67"/>
        <v xml:space="preserve"> </v>
      </c>
      <c r="AN37" s="406" t="str">
        <f t="shared" si="67"/>
        <v xml:space="preserve"> </v>
      </c>
      <c r="AO37" s="406" t="str">
        <f t="shared" si="67"/>
        <v xml:space="preserve"> </v>
      </c>
      <c r="AP37" s="406" t="str">
        <f t="shared" si="67"/>
        <v xml:space="preserve"> </v>
      </c>
      <c r="AQ37" s="406" t="str">
        <f t="shared" si="67"/>
        <v xml:space="preserve"> </v>
      </c>
      <c r="AR37" s="406" t="str">
        <f t="shared" si="67"/>
        <v xml:space="preserve"> </v>
      </c>
      <c r="AS37" s="406" t="str">
        <f t="shared" si="67"/>
        <v xml:space="preserve"> </v>
      </c>
      <c r="AT37" s="406" t="str">
        <f t="shared" si="67"/>
        <v xml:space="preserve"> </v>
      </c>
      <c r="AU37" s="406" t="str">
        <f t="shared" si="67"/>
        <v xml:space="preserve"> </v>
      </c>
      <c r="AV37" s="406" t="str">
        <f t="shared" si="67"/>
        <v xml:space="preserve"> </v>
      </c>
      <c r="AW37" s="406" t="str">
        <f t="shared" si="67"/>
        <v xml:space="preserve"> </v>
      </c>
      <c r="AX37" s="406" t="str">
        <f t="shared" si="72"/>
        <v xml:space="preserve"> </v>
      </c>
      <c r="AY37" s="406" t="str">
        <f t="shared" si="72"/>
        <v xml:space="preserve"> </v>
      </c>
      <c r="AZ37" s="406" t="str">
        <f t="shared" si="72"/>
        <v xml:space="preserve"> </v>
      </c>
      <c r="BA37" s="406" t="str">
        <f t="shared" si="72"/>
        <v xml:space="preserve"> </v>
      </c>
      <c r="BB37" s="406" t="str">
        <f t="shared" si="72"/>
        <v xml:space="preserve"> </v>
      </c>
      <c r="BC37" s="406" t="str">
        <f t="shared" si="72"/>
        <v xml:space="preserve"> </v>
      </c>
      <c r="BD37" s="406" t="str">
        <f t="shared" si="72"/>
        <v xml:space="preserve"> </v>
      </c>
      <c r="BE37" s="406" t="str">
        <f t="shared" si="72"/>
        <v xml:space="preserve"> </v>
      </c>
      <c r="BF37" s="406" t="str">
        <f t="shared" si="72"/>
        <v xml:space="preserve"> </v>
      </c>
      <c r="BG37" s="406" t="str">
        <f t="shared" si="72"/>
        <v xml:space="preserve"> </v>
      </c>
      <c r="BH37" s="406" t="str">
        <f t="shared" si="72"/>
        <v xml:space="preserve"> </v>
      </c>
      <c r="BI37" s="406" t="str">
        <f t="shared" si="72"/>
        <v xml:space="preserve"> </v>
      </c>
      <c r="BJ37" s="406" t="str">
        <f t="shared" si="72"/>
        <v xml:space="preserve"> </v>
      </c>
      <c r="BK37" s="406" t="str">
        <f t="shared" si="72"/>
        <v xml:space="preserve"> </v>
      </c>
      <c r="BL37" s="406" t="str">
        <f t="shared" si="72"/>
        <v xml:space="preserve"> </v>
      </c>
      <c r="BM37" s="406" t="str">
        <f t="shared" si="72"/>
        <v xml:space="preserve"> </v>
      </c>
      <c r="BN37" s="406" t="str">
        <f t="shared" si="73"/>
        <v xml:space="preserve"> </v>
      </c>
      <c r="BO37" s="406" t="str">
        <f t="shared" si="73"/>
        <v xml:space="preserve"> </v>
      </c>
      <c r="BP37" s="406" t="str">
        <f t="shared" si="73"/>
        <v xml:space="preserve"> </v>
      </c>
      <c r="BQ37" s="406" t="str">
        <f t="shared" si="73"/>
        <v xml:space="preserve"> </v>
      </c>
      <c r="BR37" s="406" t="str">
        <f t="shared" si="73"/>
        <v xml:space="preserve"> </v>
      </c>
      <c r="BS37" s="406" t="str">
        <f t="shared" si="73"/>
        <v xml:space="preserve"> </v>
      </c>
      <c r="BT37" s="406" t="str">
        <f t="shared" si="73"/>
        <v xml:space="preserve"> </v>
      </c>
      <c r="BU37" s="406" t="str">
        <f t="shared" si="73"/>
        <v xml:space="preserve"> </v>
      </c>
      <c r="BV37" s="406" t="str">
        <f t="shared" si="73"/>
        <v xml:space="preserve"> </v>
      </c>
      <c r="BW37" s="406" t="str">
        <f t="shared" si="73"/>
        <v xml:space="preserve"> </v>
      </c>
      <c r="BX37" s="406" t="str">
        <f t="shared" si="73"/>
        <v xml:space="preserve"> </v>
      </c>
      <c r="BY37" s="406" t="str">
        <f t="shared" si="73"/>
        <v xml:space="preserve"> </v>
      </c>
      <c r="BZ37" s="406" t="str">
        <f t="shared" si="73"/>
        <v xml:space="preserve"> </v>
      </c>
      <c r="CA37" s="406" t="str">
        <f t="shared" si="73"/>
        <v xml:space="preserve"> </v>
      </c>
      <c r="CB37" s="407" t="str">
        <f t="shared" si="73"/>
        <v xml:space="preserve"> </v>
      </c>
      <c r="CC37" s="407" t="str">
        <f t="shared" si="73"/>
        <v xml:space="preserve"> </v>
      </c>
      <c r="CD37" s="407" t="str">
        <f t="shared" si="74"/>
        <v xml:space="preserve"> </v>
      </c>
      <c r="CE37" s="407" t="str">
        <f t="shared" si="74"/>
        <v xml:space="preserve"> </v>
      </c>
      <c r="CF37" s="407" t="str">
        <f t="shared" si="74"/>
        <v xml:space="preserve"> </v>
      </c>
      <c r="CG37" s="407" t="str">
        <f t="shared" si="74"/>
        <v xml:space="preserve"> </v>
      </c>
      <c r="CH37" s="407" t="str">
        <f t="shared" si="74"/>
        <v xml:space="preserve"> </v>
      </c>
      <c r="CI37" s="407" t="str">
        <f t="shared" si="74"/>
        <v xml:space="preserve"> </v>
      </c>
      <c r="CJ37" s="407" t="str">
        <f t="shared" si="74"/>
        <v xml:space="preserve"> </v>
      </c>
      <c r="CK37" s="407" t="str">
        <f t="shared" si="74"/>
        <v xml:space="preserve"> </v>
      </c>
      <c r="CL37" s="407" t="str">
        <f t="shared" si="74"/>
        <v xml:space="preserve"> </v>
      </c>
      <c r="CM37" s="407" t="str">
        <f t="shared" si="74"/>
        <v xml:space="preserve"> </v>
      </c>
      <c r="CN37" s="407" t="str">
        <f t="shared" si="74"/>
        <v xml:space="preserve"> </v>
      </c>
      <c r="CO37" s="407" t="str">
        <f t="shared" si="74"/>
        <v xml:space="preserve"> </v>
      </c>
      <c r="CP37" s="407" t="str">
        <f t="shared" si="74"/>
        <v xml:space="preserve"> </v>
      </c>
      <c r="CQ37" s="407" t="str">
        <f t="shared" si="74"/>
        <v xml:space="preserve"> </v>
      </c>
      <c r="CR37" s="407" t="str">
        <f t="shared" si="74"/>
        <v xml:space="preserve"> </v>
      </c>
      <c r="CS37" s="407" t="str">
        <f t="shared" si="74"/>
        <v xml:space="preserve"> </v>
      </c>
      <c r="CT37" s="407" t="str">
        <f t="shared" si="75"/>
        <v xml:space="preserve"> </v>
      </c>
      <c r="CU37" s="407" t="str">
        <f t="shared" si="75"/>
        <v xml:space="preserve"> </v>
      </c>
      <c r="CV37" s="407" t="str">
        <f t="shared" si="75"/>
        <v xml:space="preserve"> </v>
      </c>
      <c r="CW37" s="407" t="str">
        <f t="shared" si="75"/>
        <v xml:space="preserve"> </v>
      </c>
      <c r="CX37" s="407" t="str">
        <f t="shared" si="75"/>
        <v xml:space="preserve"> </v>
      </c>
      <c r="CY37" s="407" t="str">
        <f t="shared" si="75"/>
        <v xml:space="preserve"> </v>
      </c>
      <c r="CZ37" s="407" t="str">
        <f t="shared" si="75"/>
        <v xml:space="preserve"> </v>
      </c>
      <c r="DA37" s="407" t="str">
        <f t="shared" si="75"/>
        <v xml:space="preserve"> </v>
      </c>
      <c r="DB37" s="407" t="str">
        <f t="shared" si="75"/>
        <v xml:space="preserve"> </v>
      </c>
      <c r="DC37" s="407" t="str">
        <f t="shared" si="75"/>
        <v xml:space="preserve"> </v>
      </c>
      <c r="DD37" s="407" t="str">
        <f t="shared" si="69"/>
        <v xml:space="preserve"> </v>
      </c>
      <c r="DE37" s="407" t="str">
        <f t="shared" si="69"/>
        <v xml:space="preserve"> </v>
      </c>
      <c r="DF37" s="407" t="str">
        <f t="shared" si="69"/>
        <v xml:space="preserve"> </v>
      </c>
      <c r="DG37" s="407" t="str">
        <f t="shared" si="69"/>
        <v xml:space="preserve"> </v>
      </c>
      <c r="DH37" s="407" t="str">
        <f t="shared" si="69"/>
        <v xml:space="preserve"> </v>
      </c>
      <c r="DI37" s="407" t="str">
        <f t="shared" si="69"/>
        <v xml:space="preserve"> </v>
      </c>
      <c r="DJ37" s="407" t="str">
        <f t="shared" si="69"/>
        <v xml:space="preserve"> </v>
      </c>
      <c r="DK37" s="407" t="str">
        <f t="shared" si="69"/>
        <v xml:space="preserve"> </v>
      </c>
      <c r="DL37" s="407" t="str">
        <f t="shared" si="69"/>
        <v xml:space="preserve"> </v>
      </c>
      <c r="DM37" s="407" t="str">
        <f t="shared" si="69"/>
        <v xml:space="preserve"> </v>
      </c>
      <c r="DN37" s="407" t="str">
        <f t="shared" si="69"/>
        <v xml:space="preserve"> </v>
      </c>
      <c r="DO37" s="407" t="str">
        <f t="shared" si="69"/>
        <v xml:space="preserve"> </v>
      </c>
      <c r="DP37" s="407" t="str">
        <f t="shared" si="70"/>
        <v xml:space="preserve"> </v>
      </c>
      <c r="DQ37" s="407" t="str">
        <f t="shared" si="70"/>
        <v xml:space="preserve"> </v>
      </c>
      <c r="DR37" s="407" t="str">
        <f t="shared" si="70"/>
        <v xml:space="preserve"> </v>
      </c>
      <c r="DS37" s="407" t="str">
        <f t="shared" si="70"/>
        <v xml:space="preserve"> </v>
      </c>
      <c r="DT37" s="407" t="str">
        <f t="shared" si="70"/>
        <v xml:space="preserve"> </v>
      </c>
      <c r="DU37" s="407" t="str">
        <f t="shared" si="70"/>
        <v xml:space="preserve"> </v>
      </c>
      <c r="DV37" s="407" t="str">
        <f t="shared" si="70"/>
        <v xml:space="preserve"> </v>
      </c>
      <c r="DW37" s="407" t="str">
        <f t="shared" si="70"/>
        <v xml:space="preserve"> </v>
      </c>
      <c r="DX37" s="407" t="str">
        <f t="shared" si="70"/>
        <v xml:space="preserve"> </v>
      </c>
      <c r="DY37" s="407" t="str">
        <f t="shared" si="70"/>
        <v xml:space="preserve"> </v>
      </c>
      <c r="DZ37" s="407" t="str">
        <f t="shared" si="70"/>
        <v xml:space="preserve"> </v>
      </c>
      <c r="EA37" s="407" t="str">
        <f t="shared" si="70"/>
        <v xml:space="preserve"> </v>
      </c>
      <c r="EB37" s="407" t="str">
        <f t="shared" si="70"/>
        <v xml:space="preserve"> </v>
      </c>
      <c r="EC37" s="407" t="str">
        <f t="shared" si="70"/>
        <v xml:space="preserve"> </v>
      </c>
      <c r="ED37" s="407" t="str">
        <f t="shared" si="70"/>
        <v xml:space="preserve"> </v>
      </c>
      <c r="EE37" s="407" t="str">
        <f t="shared" si="70"/>
        <v xml:space="preserve"> </v>
      </c>
    </row>
    <row r="38" spans="1:135" s="408" customFormat="1" x14ac:dyDescent="0.25">
      <c r="A38" s="390">
        <v>2</v>
      </c>
      <c r="B38" s="391" t="str">
        <f t="shared" si="25"/>
        <v>3.2</v>
      </c>
      <c r="C38" s="390" t="s">
        <v>903</v>
      </c>
      <c r="D38" s="393"/>
      <c r="E38" s="394"/>
      <c r="F38" s="409"/>
      <c r="G38" s="410"/>
      <c r="H38" s="410"/>
      <c r="I38" s="410"/>
      <c r="J38" s="411">
        <v>45689</v>
      </c>
      <c r="K38" s="412"/>
      <c r="L38" s="413"/>
      <c r="M38" s="411">
        <v>45717</v>
      </c>
      <c r="N38" s="414" t="s">
        <v>865</v>
      </c>
      <c r="O38" s="415">
        <v>0</v>
      </c>
      <c r="P38" s="401">
        <v>3</v>
      </c>
      <c r="Q38" s="402">
        <f t="shared" si="60"/>
        <v>45689</v>
      </c>
      <c r="R38" s="402">
        <f t="shared" si="27"/>
        <v>45717</v>
      </c>
      <c r="S38" s="403">
        <f t="shared" si="28"/>
        <v>19</v>
      </c>
      <c r="T38" s="403">
        <f t="shared" si="36"/>
        <v>29</v>
      </c>
      <c r="U38" s="404"/>
      <c r="V38" s="404"/>
      <c r="W38" s="405"/>
      <c r="X38" s="406" t="str">
        <f t="shared" si="71"/>
        <v xml:space="preserve"> </v>
      </c>
      <c r="Y38" s="406" t="str">
        <f t="shared" si="71"/>
        <v xml:space="preserve"> </v>
      </c>
      <c r="Z38" s="406" t="str">
        <f t="shared" si="71"/>
        <v xml:space="preserve"> </v>
      </c>
      <c r="AA38" s="406" t="str">
        <f t="shared" si="71"/>
        <v xml:space="preserve"> </v>
      </c>
      <c r="AB38" s="406" t="str">
        <f t="shared" si="71"/>
        <v xml:space="preserve"> </v>
      </c>
      <c r="AC38" s="406" t="str">
        <f t="shared" si="71"/>
        <v xml:space="preserve"> </v>
      </c>
      <c r="AD38" s="406" t="str">
        <f t="shared" si="71"/>
        <v xml:space="preserve"> </v>
      </c>
      <c r="AE38" s="406" t="str">
        <f t="shared" si="71"/>
        <v xml:space="preserve"> </v>
      </c>
      <c r="AF38" s="406" t="str">
        <f t="shared" si="71"/>
        <v xml:space="preserve"> </v>
      </c>
      <c r="AG38" s="406" t="str">
        <f t="shared" si="71"/>
        <v xml:space="preserve"> </v>
      </c>
      <c r="AH38" s="406" t="str">
        <f t="shared" si="67"/>
        <v xml:space="preserve"> </v>
      </c>
      <c r="AI38" s="406" t="str">
        <f t="shared" si="67"/>
        <v xml:space="preserve"> </v>
      </c>
      <c r="AJ38" s="406" t="str">
        <f t="shared" si="67"/>
        <v xml:space="preserve"> </v>
      </c>
      <c r="AK38" s="406" t="str">
        <f t="shared" si="67"/>
        <v xml:space="preserve"> </v>
      </c>
      <c r="AL38" s="406" t="str">
        <f t="shared" si="67"/>
        <v xml:space="preserve"> </v>
      </c>
      <c r="AM38" s="406" t="str">
        <f t="shared" si="67"/>
        <v xml:space="preserve"> </v>
      </c>
      <c r="AN38" s="406" t="str">
        <f t="shared" si="67"/>
        <v xml:space="preserve"> </v>
      </c>
      <c r="AO38" s="406" t="str">
        <f t="shared" si="67"/>
        <v xml:space="preserve"> </v>
      </c>
      <c r="AP38" s="406" t="str">
        <f t="shared" si="67"/>
        <v xml:space="preserve"> </v>
      </c>
      <c r="AQ38" s="406" t="str">
        <f t="shared" si="67"/>
        <v xml:space="preserve"> </v>
      </c>
      <c r="AR38" s="406" t="str">
        <f t="shared" si="67"/>
        <v xml:space="preserve"> </v>
      </c>
      <c r="AS38" s="406" t="str">
        <f t="shared" si="67"/>
        <v xml:space="preserve"> </v>
      </c>
      <c r="AT38" s="406" t="str">
        <f t="shared" si="67"/>
        <v xml:space="preserve"> </v>
      </c>
      <c r="AU38" s="406" t="str">
        <f t="shared" si="67"/>
        <v xml:space="preserve"> </v>
      </c>
      <c r="AV38" s="406" t="str">
        <f t="shared" si="67"/>
        <v xml:space="preserve"> </v>
      </c>
      <c r="AW38" s="406" t="str">
        <f t="shared" si="67"/>
        <v xml:space="preserve"> </v>
      </c>
      <c r="AX38" s="406" t="str">
        <f t="shared" si="72"/>
        <v xml:space="preserve"> </v>
      </c>
      <c r="AY38" s="406" t="str">
        <f t="shared" si="72"/>
        <v xml:space="preserve"> </v>
      </c>
      <c r="AZ38" s="406" t="str">
        <f t="shared" si="72"/>
        <v xml:space="preserve"> </v>
      </c>
      <c r="BA38" s="406" t="str">
        <f t="shared" si="72"/>
        <v xml:space="preserve"> </v>
      </c>
      <c r="BB38" s="406" t="str">
        <f t="shared" si="72"/>
        <v xml:space="preserve"> </v>
      </c>
      <c r="BC38" s="406" t="str">
        <f t="shared" si="72"/>
        <v xml:space="preserve"> </v>
      </c>
      <c r="BD38" s="406" t="str">
        <f t="shared" si="72"/>
        <v xml:space="preserve"> </v>
      </c>
      <c r="BE38" s="406" t="str">
        <f t="shared" si="72"/>
        <v xml:space="preserve"> </v>
      </c>
      <c r="BF38" s="406" t="str">
        <f t="shared" si="72"/>
        <v xml:space="preserve"> </v>
      </c>
      <c r="BG38" s="406" t="str">
        <f t="shared" si="72"/>
        <v xml:space="preserve"> </v>
      </c>
      <c r="BH38" s="406" t="str">
        <f t="shared" si="72"/>
        <v xml:space="preserve"> </v>
      </c>
      <c r="BI38" s="406" t="str">
        <f t="shared" si="72"/>
        <v xml:space="preserve"> </v>
      </c>
      <c r="BJ38" s="406" t="str">
        <f t="shared" si="72"/>
        <v xml:space="preserve"> </v>
      </c>
      <c r="BK38" s="406" t="str">
        <f t="shared" si="72"/>
        <v xml:space="preserve"> </v>
      </c>
      <c r="BL38" s="406" t="str">
        <f t="shared" si="72"/>
        <v xml:space="preserve"> </v>
      </c>
      <c r="BM38" s="406" t="str">
        <f t="shared" si="72"/>
        <v xml:space="preserve"> </v>
      </c>
      <c r="BN38" s="406" t="str">
        <f t="shared" si="73"/>
        <v xml:space="preserve"> </v>
      </c>
      <c r="BO38" s="406" t="str">
        <f t="shared" si="73"/>
        <v xml:space="preserve"> </v>
      </c>
      <c r="BP38" s="406" t="str">
        <f t="shared" si="73"/>
        <v xml:space="preserve"> </v>
      </c>
      <c r="BQ38" s="406" t="str">
        <f t="shared" si="73"/>
        <v xml:space="preserve"> </v>
      </c>
      <c r="BR38" s="406" t="str">
        <f t="shared" si="73"/>
        <v xml:space="preserve"> </v>
      </c>
      <c r="BS38" s="406" t="str">
        <f t="shared" si="73"/>
        <v xml:space="preserve"> </v>
      </c>
      <c r="BT38" s="406" t="str">
        <f t="shared" si="73"/>
        <v xml:space="preserve"> </v>
      </c>
      <c r="BU38" s="406" t="str">
        <f t="shared" si="73"/>
        <v xml:space="preserve"> </v>
      </c>
      <c r="BV38" s="406" t="str">
        <f t="shared" si="73"/>
        <v xml:space="preserve"> </v>
      </c>
      <c r="BW38" s="406" t="str">
        <f t="shared" si="73"/>
        <v xml:space="preserve"> </v>
      </c>
      <c r="BX38" s="406" t="str">
        <f t="shared" si="73"/>
        <v xml:space="preserve"> </v>
      </c>
      <c r="BY38" s="406" t="str">
        <f t="shared" si="73"/>
        <v xml:space="preserve"> </v>
      </c>
      <c r="BZ38" s="406" t="str">
        <f t="shared" si="73"/>
        <v xml:space="preserve"> </v>
      </c>
      <c r="CA38" s="406" t="str">
        <f t="shared" si="73"/>
        <v xml:space="preserve"> </v>
      </c>
      <c r="CB38" s="407" t="str">
        <f t="shared" si="73"/>
        <v xml:space="preserve"> </v>
      </c>
      <c r="CC38" s="407" t="str">
        <f t="shared" si="73"/>
        <v xml:space="preserve"> </v>
      </c>
      <c r="CD38" s="407" t="str">
        <f t="shared" si="74"/>
        <v xml:space="preserve"> </v>
      </c>
      <c r="CE38" s="407" t="str">
        <f t="shared" si="74"/>
        <v xml:space="preserve"> </v>
      </c>
      <c r="CF38" s="407" t="str">
        <f t="shared" si="74"/>
        <v xml:space="preserve"> </v>
      </c>
      <c r="CG38" s="407" t="str">
        <f t="shared" si="74"/>
        <v xml:space="preserve"> </v>
      </c>
      <c r="CH38" s="407" t="str">
        <f t="shared" si="74"/>
        <v xml:space="preserve"> </v>
      </c>
      <c r="CI38" s="407" t="str">
        <f t="shared" si="74"/>
        <v xml:space="preserve"> </v>
      </c>
      <c r="CJ38" s="407" t="str">
        <f t="shared" si="74"/>
        <v xml:space="preserve"> </v>
      </c>
      <c r="CK38" s="407" t="str">
        <f t="shared" si="74"/>
        <v xml:space="preserve"> </v>
      </c>
      <c r="CL38" s="407" t="str">
        <f t="shared" si="74"/>
        <v xml:space="preserve"> </v>
      </c>
      <c r="CM38" s="407" t="str">
        <f t="shared" si="74"/>
        <v xml:space="preserve"> </v>
      </c>
      <c r="CN38" s="407" t="str">
        <f t="shared" si="74"/>
        <v xml:space="preserve"> </v>
      </c>
      <c r="CO38" s="407" t="str">
        <f t="shared" si="74"/>
        <v xml:space="preserve"> </v>
      </c>
      <c r="CP38" s="407" t="str">
        <f t="shared" si="74"/>
        <v xml:space="preserve"> </v>
      </c>
      <c r="CQ38" s="407" t="str">
        <f t="shared" si="74"/>
        <v xml:space="preserve"> </v>
      </c>
      <c r="CR38" s="407" t="str">
        <f t="shared" si="74"/>
        <v xml:space="preserve"> </v>
      </c>
      <c r="CS38" s="407" t="str">
        <f t="shared" si="74"/>
        <v xml:space="preserve"> </v>
      </c>
      <c r="CT38" s="407" t="str">
        <f t="shared" si="75"/>
        <v xml:space="preserve"> </v>
      </c>
      <c r="CU38" s="407" t="str">
        <f t="shared" si="75"/>
        <v xml:space="preserve"> </v>
      </c>
      <c r="CV38" s="407" t="str">
        <f t="shared" si="75"/>
        <v xml:space="preserve"> </v>
      </c>
      <c r="CW38" s="407" t="str">
        <f t="shared" si="75"/>
        <v xml:space="preserve"> </v>
      </c>
      <c r="CX38" s="407" t="str">
        <f t="shared" si="75"/>
        <v xml:space="preserve"> </v>
      </c>
      <c r="CY38" s="407" t="str">
        <f t="shared" si="75"/>
        <v xml:space="preserve"> </v>
      </c>
      <c r="CZ38" s="407" t="str">
        <f t="shared" si="75"/>
        <v xml:space="preserve"> </v>
      </c>
      <c r="DA38" s="407" t="str">
        <f t="shared" si="75"/>
        <v xml:space="preserve"> </v>
      </c>
      <c r="DB38" s="407" t="str">
        <f t="shared" si="75"/>
        <v xml:space="preserve"> </v>
      </c>
      <c r="DC38" s="407" t="str">
        <f t="shared" si="75"/>
        <v xml:space="preserve"> </v>
      </c>
      <c r="DD38" s="407" t="str">
        <f t="shared" si="69"/>
        <v xml:space="preserve"> </v>
      </c>
      <c r="DE38" s="407" t="str">
        <f t="shared" si="69"/>
        <v xml:space="preserve"> </v>
      </c>
      <c r="DF38" s="407" t="str">
        <f t="shared" si="69"/>
        <v xml:space="preserve"> </v>
      </c>
      <c r="DG38" s="407" t="str">
        <f t="shared" si="69"/>
        <v xml:space="preserve"> </v>
      </c>
      <c r="DH38" s="407" t="str">
        <f t="shared" si="69"/>
        <v xml:space="preserve"> </v>
      </c>
      <c r="DI38" s="407" t="str">
        <f t="shared" si="69"/>
        <v xml:space="preserve"> </v>
      </c>
      <c r="DJ38" s="407" t="str">
        <f t="shared" si="69"/>
        <v xml:space="preserve"> </v>
      </c>
      <c r="DK38" s="407" t="str">
        <f t="shared" si="69"/>
        <v xml:space="preserve"> </v>
      </c>
      <c r="DL38" s="407" t="str">
        <f t="shared" si="69"/>
        <v xml:space="preserve"> </v>
      </c>
      <c r="DM38" s="407" t="str">
        <f t="shared" si="69"/>
        <v xml:space="preserve"> </v>
      </c>
      <c r="DN38" s="407" t="str">
        <f t="shared" si="69"/>
        <v xml:space="preserve"> </v>
      </c>
      <c r="DO38" s="407" t="str">
        <f t="shared" si="69"/>
        <v xml:space="preserve"> </v>
      </c>
      <c r="DP38" s="407" t="str">
        <f t="shared" si="70"/>
        <v xml:space="preserve"> </v>
      </c>
      <c r="DQ38" s="407" t="str">
        <f t="shared" si="70"/>
        <v xml:space="preserve"> </v>
      </c>
      <c r="DR38" s="407" t="str">
        <f t="shared" si="70"/>
        <v xml:space="preserve"> </v>
      </c>
      <c r="DS38" s="407" t="str">
        <f t="shared" si="70"/>
        <v xml:space="preserve"> </v>
      </c>
      <c r="DT38" s="407" t="str">
        <f t="shared" si="70"/>
        <v xml:space="preserve"> </v>
      </c>
      <c r="DU38" s="407" t="str">
        <f t="shared" si="70"/>
        <v xml:space="preserve"> </v>
      </c>
      <c r="DV38" s="407" t="str">
        <f t="shared" si="70"/>
        <v xml:space="preserve"> </v>
      </c>
      <c r="DW38" s="407" t="str">
        <f t="shared" si="70"/>
        <v xml:space="preserve"> </v>
      </c>
      <c r="DX38" s="407" t="str">
        <f t="shared" si="70"/>
        <v xml:space="preserve"> </v>
      </c>
      <c r="DY38" s="407" t="str">
        <f t="shared" si="70"/>
        <v xml:space="preserve"> </v>
      </c>
      <c r="DZ38" s="407" t="str">
        <f t="shared" si="70"/>
        <v xml:space="preserve"> </v>
      </c>
      <c r="EA38" s="407" t="str">
        <f t="shared" si="70"/>
        <v xml:space="preserve"> </v>
      </c>
      <c r="EB38" s="407" t="str">
        <f t="shared" si="70"/>
        <v xml:space="preserve"> </v>
      </c>
      <c r="EC38" s="407" t="str">
        <f t="shared" si="70"/>
        <v xml:space="preserve"> </v>
      </c>
      <c r="ED38" s="407" t="str">
        <f t="shared" si="70"/>
        <v xml:space="preserve"> </v>
      </c>
      <c r="EE38" s="407" t="str">
        <f t="shared" si="70"/>
        <v xml:space="preserve"> </v>
      </c>
    </row>
    <row r="39" spans="1:135" s="408" customFormat="1" x14ac:dyDescent="0.25">
      <c r="A39" s="390">
        <v>2</v>
      </c>
      <c r="B39" s="391" t="str">
        <f t="shared" si="25"/>
        <v>3.3</v>
      </c>
      <c r="C39" s="390" t="s">
        <v>918</v>
      </c>
      <c r="D39" s="393"/>
      <c r="E39" s="394"/>
      <c r="F39" s="409"/>
      <c r="G39" s="410"/>
      <c r="H39" s="410"/>
      <c r="I39" s="410"/>
      <c r="J39" s="411">
        <v>45689</v>
      </c>
      <c r="K39" s="412"/>
      <c r="L39" s="413"/>
      <c r="M39" s="411">
        <v>45716</v>
      </c>
      <c r="N39" s="414" t="s">
        <v>865</v>
      </c>
      <c r="O39" s="415">
        <v>0</v>
      </c>
      <c r="P39" s="401" t="s">
        <v>866</v>
      </c>
      <c r="Q39" s="402">
        <f t="shared" si="60"/>
        <v>45689</v>
      </c>
      <c r="R39" s="402">
        <f t="shared" si="27"/>
        <v>45716</v>
      </c>
      <c r="S39" s="403">
        <f t="shared" si="28"/>
        <v>19</v>
      </c>
      <c r="T39" s="403">
        <f t="shared" si="36"/>
        <v>28</v>
      </c>
      <c r="U39" s="404"/>
      <c r="V39" s="404"/>
      <c r="W39" s="405"/>
      <c r="X39" s="406" t="str">
        <f t="shared" si="71"/>
        <v xml:space="preserve"> </v>
      </c>
      <c r="Y39" s="406" t="str">
        <f t="shared" si="71"/>
        <v xml:space="preserve"> </v>
      </c>
      <c r="Z39" s="406" t="str">
        <f t="shared" si="71"/>
        <v xml:space="preserve"> </v>
      </c>
      <c r="AA39" s="406" t="str">
        <f t="shared" si="71"/>
        <v xml:space="preserve"> </v>
      </c>
      <c r="AB39" s="406" t="str">
        <f t="shared" si="71"/>
        <v xml:space="preserve"> </v>
      </c>
      <c r="AC39" s="406" t="str">
        <f t="shared" si="71"/>
        <v xml:space="preserve"> </v>
      </c>
      <c r="AD39" s="406" t="str">
        <f t="shared" si="71"/>
        <v xml:space="preserve"> </v>
      </c>
      <c r="AE39" s="406" t="str">
        <f t="shared" si="71"/>
        <v xml:space="preserve"> </v>
      </c>
      <c r="AF39" s="406" t="str">
        <f t="shared" si="71"/>
        <v xml:space="preserve"> </v>
      </c>
      <c r="AG39" s="406" t="str">
        <f t="shared" si="71"/>
        <v xml:space="preserve"> </v>
      </c>
      <c r="AH39" s="406" t="str">
        <f t="shared" si="67"/>
        <v xml:space="preserve"> </v>
      </c>
      <c r="AI39" s="406" t="str">
        <f t="shared" si="67"/>
        <v xml:space="preserve"> </v>
      </c>
      <c r="AJ39" s="406" t="str">
        <f t="shared" si="67"/>
        <v xml:space="preserve"> </v>
      </c>
      <c r="AK39" s="406" t="str">
        <f t="shared" si="67"/>
        <v xml:space="preserve"> </v>
      </c>
      <c r="AL39" s="406" t="str">
        <f t="shared" si="67"/>
        <v xml:space="preserve"> </v>
      </c>
      <c r="AM39" s="406" t="str">
        <f t="shared" si="67"/>
        <v xml:space="preserve"> </v>
      </c>
      <c r="AN39" s="406" t="str">
        <f t="shared" si="67"/>
        <v xml:space="preserve"> </v>
      </c>
      <c r="AO39" s="406" t="str">
        <f t="shared" si="67"/>
        <v xml:space="preserve"> </v>
      </c>
      <c r="AP39" s="406" t="str">
        <f t="shared" si="67"/>
        <v xml:space="preserve"> </v>
      </c>
      <c r="AQ39" s="406" t="str">
        <f t="shared" si="67"/>
        <v xml:space="preserve"> </v>
      </c>
      <c r="AR39" s="406" t="str">
        <f t="shared" si="67"/>
        <v xml:space="preserve"> </v>
      </c>
      <c r="AS39" s="406" t="str">
        <f t="shared" si="67"/>
        <v xml:space="preserve"> </v>
      </c>
      <c r="AT39" s="406" t="str">
        <f t="shared" si="67"/>
        <v xml:space="preserve"> </v>
      </c>
      <c r="AU39" s="406" t="str">
        <f t="shared" si="67"/>
        <v xml:space="preserve"> </v>
      </c>
      <c r="AV39" s="406" t="str">
        <f t="shared" si="67"/>
        <v xml:space="preserve"> </v>
      </c>
      <c r="AW39" s="406" t="str">
        <f t="shared" si="67"/>
        <v xml:space="preserve"> </v>
      </c>
      <c r="AX39" s="406" t="str">
        <f t="shared" si="72"/>
        <v xml:space="preserve"> </v>
      </c>
      <c r="AY39" s="406" t="str">
        <f t="shared" si="72"/>
        <v xml:space="preserve"> </v>
      </c>
      <c r="AZ39" s="406" t="str">
        <f t="shared" si="72"/>
        <v xml:space="preserve"> </v>
      </c>
      <c r="BA39" s="406" t="str">
        <f t="shared" si="72"/>
        <v xml:space="preserve"> </v>
      </c>
      <c r="BB39" s="406" t="str">
        <f t="shared" si="72"/>
        <v xml:space="preserve"> </v>
      </c>
      <c r="BC39" s="406" t="str">
        <f t="shared" si="72"/>
        <v xml:space="preserve"> </v>
      </c>
      <c r="BD39" s="406" t="str">
        <f t="shared" si="72"/>
        <v xml:space="preserve"> </v>
      </c>
      <c r="BE39" s="406" t="str">
        <f t="shared" si="72"/>
        <v xml:space="preserve"> </v>
      </c>
      <c r="BF39" s="406" t="str">
        <f t="shared" si="72"/>
        <v xml:space="preserve"> </v>
      </c>
      <c r="BG39" s="406" t="str">
        <f t="shared" si="72"/>
        <v xml:space="preserve"> </v>
      </c>
      <c r="BH39" s="406" t="str">
        <f t="shared" si="72"/>
        <v xml:space="preserve"> </v>
      </c>
      <c r="BI39" s="406" t="str">
        <f t="shared" si="72"/>
        <v xml:space="preserve"> </v>
      </c>
      <c r="BJ39" s="406" t="str">
        <f t="shared" si="72"/>
        <v xml:space="preserve"> </v>
      </c>
      <c r="BK39" s="406" t="str">
        <f t="shared" si="72"/>
        <v xml:space="preserve"> </v>
      </c>
      <c r="BL39" s="406" t="str">
        <f t="shared" si="72"/>
        <v xml:space="preserve"> </v>
      </c>
      <c r="BM39" s="406" t="str">
        <f t="shared" si="72"/>
        <v xml:space="preserve"> </v>
      </c>
      <c r="BN39" s="406" t="str">
        <f t="shared" si="73"/>
        <v xml:space="preserve"> </v>
      </c>
      <c r="BO39" s="406" t="str">
        <f t="shared" si="73"/>
        <v xml:space="preserve"> </v>
      </c>
      <c r="BP39" s="406" t="str">
        <f t="shared" si="73"/>
        <v xml:space="preserve"> </v>
      </c>
      <c r="BQ39" s="406" t="str">
        <f t="shared" si="73"/>
        <v xml:space="preserve"> </v>
      </c>
      <c r="BR39" s="406" t="str">
        <f t="shared" si="73"/>
        <v xml:space="preserve"> </v>
      </c>
      <c r="BS39" s="406" t="str">
        <f t="shared" si="73"/>
        <v xml:space="preserve"> </v>
      </c>
      <c r="BT39" s="406" t="str">
        <f t="shared" si="73"/>
        <v xml:space="preserve"> </v>
      </c>
      <c r="BU39" s="406" t="str">
        <f t="shared" si="73"/>
        <v xml:space="preserve"> </v>
      </c>
      <c r="BV39" s="406" t="str">
        <f t="shared" si="73"/>
        <v xml:space="preserve"> </v>
      </c>
      <c r="BW39" s="406" t="str">
        <f t="shared" si="73"/>
        <v xml:space="preserve"> </v>
      </c>
      <c r="BX39" s="406" t="str">
        <f t="shared" si="73"/>
        <v xml:space="preserve"> </v>
      </c>
      <c r="BY39" s="406" t="str">
        <f t="shared" si="73"/>
        <v xml:space="preserve"> </v>
      </c>
      <c r="BZ39" s="406" t="str">
        <f t="shared" si="73"/>
        <v xml:space="preserve"> </v>
      </c>
      <c r="CA39" s="406" t="str">
        <f t="shared" si="73"/>
        <v xml:space="preserve"> </v>
      </c>
      <c r="CB39" s="407" t="str">
        <f t="shared" si="73"/>
        <v xml:space="preserve"> </v>
      </c>
      <c r="CC39" s="407" t="str">
        <f t="shared" si="73"/>
        <v xml:space="preserve"> </v>
      </c>
      <c r="CD39" s="407" t="str">
        <f t="shared" si="74"/>
        <v xml:space="preserve"> </v>
      </c>
      <c r="CE39" s="407" t="str">
        <f t="shared" si="74"/>
        <v xml:space="preserve"> </v>
      </c>
      <c r="CF39" s="407" t="str">
        <f t="shared" si="74"/>
        <v xml:space="preserve"> </v>
      </c>
      <c r="CG39" s="407" t="str">
        <f t="shared" si="74"/>
        <v xml:space="preserve"> </v>
      </c>
      <c r="CH39" s="407" t="str">
        <f t="shared" si="74"/>
        <v xml:space="preserve"> </v>
      </c>
      <c r="CI39" s="407" t="str">
        <f t="shared" si="74"/>
        <v xml:space="preserve"> </v>
      </c>
      <c r="CJ39" s="407" t="str">
        <f t="shared" si="74"/>
        <v xml:space="preserve"> </v>
      </c>
      <c r="CK39" s="407" t="str">
        <f t="shared" si="74"/>
        <v xml:space="preserve"> </v>
      </c>
      <c r="CL39" s="407" t="str">
        <f t="shared" si="74"/>
        <v xml:space="preserve"> </v>
      </c>
      <c r="CM39" s="407" t="str">
        <f t="shared" si="74"/>
        <v xml:space="preserve"> </v>
      </c>
      <c r="CN39" s="407" t="str">
        <f t="shared" si="74"/>
        <v xml:space="preserve"> </v>
      </c>
      <c r="CO39" s="407" t="str">
        <f t="shared" si="74"/>
        <v xml:space="preserve"> </v>
      </c>
      <c r="CP39" s="407" t="str">
        <f t="shared" si="74"/>
        <v xml:space="preserve"> </v>
      </c>
      <c r="CQ39" s="407" t="str">
        <f t="shared" si="74"/>
        <v xml:space="preserve"> </v>
      </c>
      <c r="CR39" s="407" t="str">
        <f t="shared" si="74"/>
        <v xml:space="preserve"> </v>
      </c>
      <c r="CS39" s="407" t="str">
        <f t="shared" si="74"/>
        <v xml:space="preserve"> </v>
      </c>
      <c r="CT39" s="407" t="str">
        <f t="shared" si="75"/>
        <v xml:space="preserve"> </v>
      </c>
      <c r="CU39" s="407" t="str">
        <f t="shared" si="75"/>
        <v xml:space="preserve"> </v>
      </c>
      <c r="CV39" s="407" t="str">
        <f t="shared" si="75"/>
        <v xml:space="preserve"> </v>
      </c>
      <c r="CW39" s="407" t="str">
        <f t="shared" si="75"/>
        <v xml:space="preserve"> </v>
      </c>
      <c r="CX39" s="407" t="str">
        <f t="shared" si="75"/>
        <v xml:space="preserve"> </v>
      </c>
      <c r="CY39" s="407" t="str">
        <f t="shared" si="75"/>
        <v xml:space="preserve"> </v>
      </c>
      <c r="CZ39" s="407" t="str">
        <f t="shared" si="75"/>
        <v xml:space="preserve"> </v>
      </c>
      <c r="DA39" s="407" t="str">
        <f t="shared" si="75"/>
        <v xml:space="preserve"> </v>
      </c>
      <c r="DB39" s="407" t="str">
        <f t="shared" si="75"/>
        <v xml:space="preserve"> </v>
      </c>
      <c r="DC39" s="407" t="str">
        <f t="shared" si="75"/>
        <v xml:space="preserve"> </v>
      </c>
      <c r="DD39" s="407" t="str">
        <f t="shared" si="69"/>
        <v xml:space="preserve"> </v>
      </c>
      <c r="DE39" s="407" t="str">
        <f t="shared" si="69"/>
        <v xml:space="preserve"> </v>
      </c>
      <c r="DF39" s="407" t="str">
        <f t="shared" si="69"/>
        <v xml:space="preserve"> </v>
      </c>
      <c r="DG39" s="407" t="str">
        <f t="shared" si="69"/>
        <v xml:space="preserve"> </v>
      </c>
      <c r="DH39" s="407" t="str">
        <f t="shared" si="69"/>
        <v xml:space="preserve"> </v>
      </c>
      <c r="DI39" s="407" t="str">
        <f t="shared" si="69"/>
        <v xml:space="preserve"> </v>
      </c>
      <c r="DJ39" s="407" t="str">
        <f t="shared" si="69"/>
        <v xml:space="preserve"> </v>
      </c>
      <c r="DK39" s="407" t="str">
        <f t="shared" si="69"/>
        <v xml:space="preserve"> </v>
      </c>
      <c r="DL39" s="407" t="str">
        <f t="shared" si="69"/>
        <v xml:space="preserve"> </v>
      </c>
      <c r="DM39" s="407" t="str">
        <f t="shared" si="69"/>
        <v xml:space="preserve"> </v>
      </c>
      <c r="DN39" s="407" t="str">
        <f t="shared" si="69"/>
        <v xml:space="preserve"> </v>
      </c>
      <c r="DO39" s="407" t="str">
        <f t="shared" si="69"/>
        <v xml:space="preserve"> </v>
      </c>
      <c r="DP39" s="407" t="str">
        <f t="shared" si="70"/>
        <v xml:space="preserve"> </v>
      </c>
      <c r="DQ39" s="407" t="str">
        <f t="shared" si="70"/>
        <v xml:space="preserve"> </v>
      </c>
      <c r="DR39" s="407" t="str">
        <f t="shared" si="70"/>
        <v xml:space="preserve"> </v>
      </c>
      <c r="DS39" s="407" t="str">
        <f t="shared" si="70"/>
        <v xml:space="preserve"> </v>
      </c>
      <c r="DT39" s="407" t="str">
        <f t="shared" si="70"/>
        <v xml:space="preserve"> </v>
      </c>
      <c r="DU39" s="407" t="str">
        <f t="shared" si="70"/>
        <v xml:space="preserve"> </v>
      </c>
      <c r="DV39" s="407" t="str">
        <f t="shared" si="70"/>
        <v xml:space="preserve"> </v>
      </c>
      <c r="DW39" s="407" t="str">
        <f t="shared" si="70"/>
        <v xml:space="preserve"> </v>
      </c>
      <c r="DX39" s="407" t="str">
        <f t="shared" si="70"/>
        <v xml:space="preserve"> </v>
      </c>
      <c r="DY39" s="407" t="str">
        <f t="shared" si="70"/>
        <v xml:space="preserve"> </v>
      </c>
      <c r="DZ39" s="407" t="str">
        <f t="shared" si="70"/>
        <v xml:space="preserve"> </v>
      </c>
      <c r="EA39" s="407" t="str">
        <f t="shared" si="70"/>
        <v xml:space="preserve"> </v>
      </c>
      <c r="EB39" s="407" t="str">
        <f t="shared" si="70"/>
        <v xml:space="preserve"> </v>
      </c>
      <c r="EC39" s="407" t="str">
        <f t="shared" si="70"/>
        <v xml:space="preserve"> </v>
      </c>
      <c r="ED39" s="407" t="str">
        <f t="shared" si="70"/>
        <v xml:space="preserve"> </v>
      </c>
      <c r="EE39" s="407" t="str">
        <f t="shared" si="70"/>
        <v xml:space="preserve"> </v>
      </c>
    </row>
    <row r="40" spans="1:135" s="408" customFormat="1" x14ac:dyDescent="0.25">
      <c r="A40" s="390">
        <v>2</v>
      </c>
      <c r="B40" s="391" t="str">
        <f t="shared" si="25"/>
        <v>3.4</v>
      </c>
      <c r="C40" s="390" t="s">
        <v>919</v>
      </c>
      <c r="D40" s="393"/>
      <c r="E40" s="394"/>
      <c r="F40" s="409"/>
      <c r="G40" s="410"/>
      <c r="H40" s="410"/>
      <c r="I40" s="410"/>
      <c r="J40" s="411">
        <v>45689</v>
      </c>
      <c r="K40" s="412"/>
      <c r="L40" s="413"/>
      <c r="M40" s="411">
        <v>45716</v>
      </c>
      <c r="N40" s="414" t="s">
        <v>867</v>
      </c>
      <c r="O40" s="415">
        <v>0</v>
      </c>
      <c r="P40" s="401" t="s">
        <v>866</v>
      </c>
      <c r="Q40" s="402">
        <f t="shared" si="60"/>
        <v>45689</v>
      </c>
      <c r="R40" s="402">
        <f t="shared" si="27"/>
        <v>45716</v>
      </c>
      <c r="S40" s="403">
        <f t="shared" si="28"/>
        <v>19</v>
      </c>
      <c r="T40" s="403">
        <f t="shared" si="36"/>
        <v>28</v>
      </c>
      <c r="U40" s="404"/>
      <c r="V40" s="404"/>
      <c r="W40" s="405"/>
      <c r="X40" s="406" t="str">
        <f t="shared" si="71"/>
        <v xml:space="preserve"> </v>
      </c>
      <c r="Y40" s="406" t="str">
        <f t="shared" si="71"/>
        <v xml:space="preserve"> </v>
      </c>
      <c r="Z40" s="406" t="str">
        <f t="shared" si="71"/>
        <v xml:space="preserve"> </v>
      </c>
      <c r="AA40" s="406" t="str">
        <f t="shared" si="71"/>
        <v xml:space="preserve"> </v>
      </c>
      <c r="AB40" s="406" t="str">
        <f t="shared" si="71"/>
        <v xml:space="preserve"> </v>
      </c>
      <c r="AC40" s="406" t="str">
        <f t="shared" si="71"/>
        <v xml:space="preserve"> </v>
      </c>
      <c r="AD40" s="406" t="str">
        <f t="shared" si="71"/>
        <v xml:space="preserve"> </v>
      </c>
      <c r="AE40" s="406" t="str">
        <f t="shared" si="71"/>
        <v xml:space="preserve"> </v>
      </c>
      <c r="AF40" s="406" t="str">
        <f t="shared" si="71"/>
        <v xml:space="preserve"> </v>
      </c>
      <c r="AG40" s="406" t="str">
        <f t="shared" si="71"/>
        <v xml:space="preserve"> </v>
      </c>
      <c r="AH40" s="406" t="str">
        <f t="shared" si="67"/>
        <v xml:space="preserve"> </v>
      </c>
      <c r="AI40" s="406" t="str">
        <f t="shared" si="67"/>
        <v xml:space="preserve"> </v>
      </c>
      <c r="AJ40" s="406" t="str">
        <f t="shared" si="67"/>
        <v xml:space="preserve"> </v>
      </c>
      <c r="AK40" s="406" t="str">
        <f t="shared" si="67"/>
        <v xml:space="preserve"> </v>
      </c>
      <c r="AL40" s="406" t="str">
        <f t="shared" si="67"/>
        <v xml:space="preserve"> </v>
      </c>
      <c r="AM40" s="406" t="str">
        <f t="shared" si="67"/>
        <v xml:space="preserve"> </v>
      </c>
      <c r="AN40" s="406" t="str">
        <f t="shared" si="67"/>
        <v xml:space="preserve"> </v>
      </c>
      <c r="AO40" s="406" t="str">
        <f t="shared" si="67"/>
        <v xml:space="preserve"> </v>
      </c>
      <c r="AP40" s="406" t="str">
        <f t="shared" si="67"/>
        <v xml:space="preserve"> </v>
      </c>
      <c r="AQ40" s="406" t="str">
        <f t="shared" si="67"/>
        <v xml:space="preserve"> </v>
      </c>
      <c r="AR40" s="406" t="str">
        <f t="shared" si="67"/>
        <v xml:space="preserve"> </v>
      </c>
      <c r="AS40" s="406" t="str">
        <f t="shared" si="67"/>
        <v xml:space="preserve"> </v>
      </c>
      <c r="AT40" s="406" t="str">
        <f t="shared" si="67"/>
        <v xml:space="preserve"> </v>
      </c>
      <c r="AU40" s="406" t="str">
        <f t="shared" si="67"/>
        <v xml:space="preserve"> </v>
      </c>
      <c r="AV40" s="406" t="str">
        <f t="shared" si="67"/>
        <v xml:space="preserve"> </v>
      </c>
      <c r="AW40" s="406" t="str">
        <f t="shared" si="67"/>
        <v xml:space="preserve"> </v>
      </c>
      <c r="AX40" s="406" t="str">
        <f t="shared" si="72"/>
        <v xml:space="preserve"> </v>
      </c>
      <c r="AY40" s="406" t="str">
        <f t="shared" si="72"/>
        <v xml:space="preserve"> </v>
      </c>
      <c r="AZ40" s="406" t="str">
        <f t="shared" si="72"/>
        <v xml:space="preserve"> </v>
      </c>
      <c r="BA40" s="406" t="str">
        <f t="shared" si="72"/>
        <v xml:space="preserve"> </v>
      </c>
      <c r="BB40" s="406" t="str">
        <f t="shared" si="72"/>
        <v xml:space="preserve"> </v>
      </c>
      <c r="BC40" s="406" t="str">
        <f t="shared" si="72"/>
        <v xml:space="preserve"> </v>
      </c>
      <c r="BD40" s="406" t="str">
        <f t="shared" si="72"/>
        <v xml:space="preserve"> </v>
      </c>
      <c r="BE40" s="406" t="str">
        <f t="shared" si="72"/>
        <v xml:space="preserve"> </v>
      </c>
      <c r="BF40" s="406" t="str">
        <f t="shared" si="72"/>
        <v xml:space="preserve"> </v>
      </c>
      <c r="BG40" s="406" t="str">
        <f t="shared" si="72"/>
        <v xml:space="preserve"> </v>
      </c>
      <c r="BH40" s="406" t="str">
        <f t="shared" si="72"/>
        <v xml:space="preserve"> </v>
      </c>
      <c r="BI40" s="406" t="str">
        <f t="shared" si="72"/>
        <v xml:space="preserve"> </v>
      </c>
      <c r="BJ40" s="406" t="str">
        <f t="shared" si="72"/>
        <v xml:space="preserve"> </v>
      </c>
      <c r="BK40" s="406" t="str">
        <f t="shared" si="72"/>
        <v xml:space="preserve"> </v>
      </c>
      <c r="BL40" s="406" t="str">
        <f t="shared" si="72"/>
        <v xml:space="preserve"> </v>
      </c>
      <c r="BM40" s="406" t="str">
        <f t="shared" si="72"/>
        <v xml:space="preserve"> </v>
      </c>
      <c r="BN40" s="406" t="str">
        <f t="shared" si="73"/>
        <v xml:space="preserve"> </v>
      </c>
      <c r="BO40" s="406" t="str">
        <f t="shared" si="73"/>
        <v xml:space="preserve"> </v>
      </c>
      <c r="BP40" s="406" t="str">
        <f t="shared" si="73"/>
        <v xml:space="preserve"> </v>
      </c>
      <c r="BQ40" s="406" t="str">
        <f t="shared" si="73"/>
        <v xml:space="preserve"> </v>
      </c>
      <c r="BR40" s="406" t="str">
        <f t="shared" si="73"/>
        <v xml:space="preserve"> </v>
      </c>
      <c r="BS40" s="406" t="str">
        <f t="shared" si="73"/>
        <v xml:space="preserve"> </v>
      </c>
      <c r="BT40" s="406" t="str">
        <f t="shared" si="73"/>
        <v xml:space="preserve"> </v>
      </c>
      <c r="BU40" s="406" t="str">
        <f t="shared" si="73"/>
        <v xml:space="preserve"> </v>
      </c>
      <c r="BV40" s="406" t="str">
        <f t="shared" si="73"/>
        <v xml:space="preserve"> </v>
      </c>
      <c r="BW40" s="406" t="str">
        <f t="shared" si="73"/>
        <v xml:space="preserve"> </v>
      </c>
      <c r="BX40" s="406" t="str">
        <f t="shared" si="73"/>
        <v xml:space="preserve"> </v>
      </c>
      <c r="BY40" s="406" t="str">
        <f t="shared" si="73"/>
        <v xml:space="preserve"> </v>
      </c>
      <c r="BZ40" s="406" t="str">
        <f t="shared" si="73"/>
        <v xml:space="preserve"> </v>
      </c>
      <c r="CA40" s="406" t="str">
        <f t="shared" si="73"/>
        <v xml:space="preserve"> </v>
      </c>
      <c r="CB40" s="407" t="str">
        <f t="shared" si="73"/>
        <v xml:space="preserve"> </v>
      </c>
      <c r="CC40" s="407" t="str">
        <f t="shared" si="73"/>
        <v xml:space="preserve"> </v>
      </c>
      <c r="CD40" s="407" t="str">
        <f t="shared" si="74"/>
        <v xml:space="preserve"> </v>
      </c>
      <c r="CE40" s="407" t="str">
        <f t="shared" si="74"/>
        <v xml:space="preserve"> </v>
      </c>
      <c r="CF40" s="407" t="str">
        <f t="shared" si="74"/>
        <v xml:space="preserve"> </v>
      </c>
      <c r="CG40" s="407" t="str">
        <f t="shared" si="74"/>
        <v xml:space="preserve"> </v>
      </c>
      <c r="CH40" s="407" t="str">
        <f t="shared" si="74"/>
        <v xml:space="preserve"> </v>
      </c>
      <c r="CI40" s="407" t="str">
        <f t="shared" si="74"/>
        <v xml:space="preserve"> </v>
      </c>
      <c r="CJ40" s="407" t="str">
        <f t="shared" si="74"/>
        <v xml:space="preserve"> </v>
      </c>
      <c r="CK40" s="407" t="str">
        <f t="shared" si="74"/>
        <v xml:space="preserve"> </v>
      </c>
      <c r="CL40" s="407" t="str">
        <f t="shared" si="74"/>
        <v xml:space="preserve"> </v>
      </c>
      <c r="CM40" s="407" t="str">
        <f t="shared" si="74"/>
        <v xml:space="preserve"> </v>
      </c>
      <c r="CN40" s="407" t="str">
        <f t="shared" si="74"/>
        <v xml:space="preserve"> </v>
      </c>
      <c r="CO40" s="407" t="str">
        <f t="shared" si="74"/>
        <v xml:space="preserve"> </v>
      </c>
      <c r="CP40" s="407" t="str">
        <f t="shared" si="74"/>
        <v xml:space="preserve"> </v>
      </c>
      <c r="CQ40" s="407" t="str">
        <f t="shared" si="74"/>
        <v xml:space="preserve"> </v>
      </c>
      <c r="CR40" s="407" t="str">
        <f t="shared" si="74"/>
        <v xml:space="preserve"> </v>
      </c>
      <c r="CS40" s="407" t="str">
        <f t="shared" si="74"/>
        <v xml:space="preserve"> </v>
      </c>
      <c r="CT40" s="407" t="str">
        <f t="shared" si="75"/>
        <v xml:space="preserve"> </v>
      </c>
      <c r="CU40" s="407" t="str">
        <f t="shared" si="75"/>
        <v xml:space="preserve"> </v>
      </c>
      <c r="CV40" s="407" t="str">
        <f t="shared" si="75"/>
        <v xml:space="preserve"> </v>
      </c>
      <c r="CW40" s="407" t="str">
        <f t="shared" si="75"/>
        <v xml:space="preserve"> </v>
      </c>
      <c r="CX40" s="407" t="str">
        <f t="shared" si="75"/>
        <v xml:space="preserve"> </v>
      </c>
      <c r="CY40" s="407" t="str">
        <f t="shared" si="75"/>
        <v xml:space="preserve"> </v>
      </c>
      <c r="CZ40" s="407" t="str">
        <f t="shared" si="75"/>
        <v xml:space="preserve"> </v>
      </c>
      <c r="DA40" s="407" t="str">
        <f t="shared" si="75"/>
        <v xml:space="preserve"> </v>
      </c>
      <c r="DB40" s="407" t="str">
        <f t="shared" si="75"/>
        <v xml:space="preserve"> </v>
      </c>
      <c r="DC40" s="407" t="str">
        <f t="shared" si="75"/>
        <v xml:space="preserve"> </v>
      </c>
      <c r="DD40" s="407" t="str">
        <f t="shared" si="69"/>
        <v xml:space="preserve"> </v>
      </c>
      <c r="DE40" s="407" t="str">
        <f t="shared" si="69"/>
        <v xml:space="preserve"> </v>
      </c>
      <c r="DF40" s="407" t="str">
        <f t="shared" si="69"/>
        <v xml:space="preserve"> </v>
      </c>
      <c r="DG40" s="407" t="str">
        <f t="shared" si="69"/>
        <v xml:space="preserve"> </v>
      </c>
      <c r="DH40" s="407" t="str">
        <f t="shared" si="69"/>
        <v xml:space="preserve"> </v>
      </c>
      <c r="DI40" s="407" t="str">
        <f t="shared" si="69"/>
        <v xml:space="preserve"> </v>
      </c>
      <c r="DJ40" s="407" t="str">
        <f t="shared" si="69"/>
        <v xml:space="preserve"> </v>
      </c>
      <c r="DK40" s="407" t="str">
        <f t="shared" si="69"/>
        <v xml:space="preserve"> </v>
      </c>
      <c r="DL40" s="407" t="str">
        <f t="shared" si="69"/>
        <v xml:space="preserve"> </v>
      </c>
      <c r="DM40" s="407" t="str">
        <f t="shared" si="69"/>
        <v xml:space="preserve"> </v>
      </c>
      <c r="DN40" s="407" t="str">
        <f t="shared" si="69"/>
        <v xml:space="preserve"> </v>
      </c>
      <c r="DO40" s="407" t="str">
        <f t="shared" si="69"/>
        <v xml:space="preserve"> </v>
      </c>
      <c r="DP40" s="407" t="str">
        <f t="shared" si="70"/>
        <v xml:space="preserve"> </v>
      </c>
      <c r="DQ40" s="407" t="str">
        <f t="shared" si="70"/>
        <v xml:space="preserve"> </v>
      </c>
      <c r="DR40" s="407" t="str">
        <f t="shared" si="70"/>
        <v xml:space="preserve"> </v>
      </c>
      <c r="DS40" s="407" t="str">
        <f t="shared" si="70"/>
        <v xml:space="preserve"> </v>
      </c>
      <c r="DT40" s="407" t="str">
        <f t="shared" si="70"/>
        <v xml:space="preserve"> </v>
      </c>
      <c r="DU40" s="407" t="str">
        <f t="shared" si="70"/>
        <v xml:space="preserve"> </v>
      </c>
      <c r="DV40" s="407" t="str">
        <f t="shared" si="70"/>
        <v xml:space="preserve"> </v>
      </c>
      <c r="DW40" s="407" t="str">
        <f t="shared" si="70"/>
        <v xml:space="preserve"> </v>
      </c>
      <c r="DX40" s="407" t="str">
        <f t="shared" si="70"/>
        <v xml:space="preserve"> </v>
      </c>
      <c r="DY40" s="407" t="str">
        <f t="shared" si="70"/>
        <v xml:space="preserve"> </v>
      </c>
      <c r="DZ40" s="407" t="str">
        <f t="shared" si="70"/>
        <v xml:space="preserve"> </v>
      </c>
      <c r="EA40" s="407" t="str">
        <f t="shared" si="70"/>
        <v xml:space="preserve"> </v>
      </c>
      <c r="EB40" s="407" t="str">
        <f t="shared" si="70"/>
        <v xml:space="preserve"> </v>
      </c>
      <c r="EC40" s="407" t="str">
        <f t="shared" si="70"/>
        <v xml:space="preserve"> </v>
      </c>
      <c r="ED40" s="407" t="str">
        <f t="shared" si="70"/>
        <v xml:space="preserve"> </v>
      </c>
      <c r="EE40" s="407" t="str">
        <f t="shared" si="70"/>
        <v xml:space="preserve"> </v>
      </c>
    </row>
    <row r="41" spans="1:135" s="408" customFormat="1" x14ac:dyDescent="0.25">
      <c r="A41" s="390">
        <v>2</v>
      </c>
      <c r="B41" s="391" t="str">
        <f t="shared" si="25"/>
        <v>3.5</v>
      </c>
      <c r="C41" s="390" t="s">
        <v>923</v>
      </c>
      <c r="D41" s="393"/>
      <c r="E41" s="394"/>
      <c r="F41" s="409"/>
      <c r="G41" s="410"/>
      <c r="H41" s="410"/>
      <c r="I41" s="410"/>
      <c r="J41" s="411">
        <v>45717</v>
      </c>
      <c r="K41" s="412"/>
      <c r="L41" s="413"/>
      <c r="M41" s="411">
        <v>45777</v>
      </c>
      <c r="N41" s="414" t="s">
        <v>868</v>
      </c>
      <c r="O41" s="415">
        <v>0</v>
      </c>
      <c r="P41" s="401">
        <v>3</v>
      </c>
      <c r="Q41" s="402">
        <f t="shared" si="60"/>
        <v>45717</v>
      </c>
      <c r="R41" s="402">
        <f t="shared" si="27"/>
        <v>45777</v>
      </c>
      <c r="S41" s="403">
        <f t="shared" si="28"/>
        <v>41</v>
      </c>
      <c r="T41" s="403">
        <f t="shared" si="36"/>
        <v>61</v>
      </c>
      <c r="U41" s="404"/>
      <c r="V41" s="404"/>
      <c r="W41" s="405"/>
      <c r="X41" s="406" t="str">
        <f t="shared" si="71"/>
        <v xml:space="preserve"> </v>
      </c>
      <c r="Y41" s="406" t="str">
        <f t="shared" si="71"/>
        <v xml:space="preserve"> </v>
      </c>
      <c r="Z41" s="406" t="str">
        <f t="shared" si="71"/>
        <v xml:space="preserve"> </v>
      </c>
      <c r="AA41" s="406" t="str">
        <f t="shared" si="71"/>
        <v xml:space="preserve"> </v>
      </c>
      <c r="AB41" s="406" t="str">
        <f t="shared" si="71"/>
        <v xml:space="preserve"> </v>
      </c>
      <c r="AC41" s="406" t="str">
        <f t="shared" si="71"/>
        <v xml:space="preserve"> </v>
      </c>
      <c r="AD41" s="406" t="str">
        <f t="shared" si="71"/>
        <v xml:space="preserve"> </v>
      </c>
      <c r="AE41" s="406" t="str">
        <f t="shared" si="71"/>
        <v xml:space="preserve"> </v>
      </c>
      <c r="AF41" s="406" t="str">
        <f t="shared" si="71"/>
        <v xml:space="preserve"> </v>
      </c>
      <c r="AG41" s="406" t="str">
        <f t="shared" si="71"/>
        <v xml:space="preserve"> </v>
      </c>
      <c r="AH41" s="406" t="str">
        <f t="shared" si="67"/>
        <v xml:space="preserve"> </v>
      </c>
      <c r="AI41" s="406" t="str">
        <f t="shared" si="67"/>
        <v xml:space="preserve"> </v>
      </c>
      <c r="AJ41" s="406" t="str">
        <f t="shared" si="67"/>
        <v xml:space="preserve"> </v>
      </c>
      <c r="AK41" s="406" t="str">
        <f t="shared" si="67"/>
        <v xml:space="preserve"> </v>
      </c>
      <c r="AL41" s="406" t="str">
        <f t="shared" si="67"/>
        <v xml:space="preserve"> </v>
      </c>
      <c r="AM41" s="406" t="str">
        <f t="shared" si="67"/>
        <v xml:space="preserve"> </v>
      </c>
      <c r="AN41" s="406" t="str">
        <f t="shared" si="67"/>
        <v xml:space="preserve"> </v>
      </c>
      <c r="AO41" s="406" t="str">
        <f t="shared" si="67"/>
        <v xml:space="preserve"> </v>
      </c>
      <c r="AP41" s="406" t="str">
        <f t="shared" si="67"/>
        <v xml:space="preserve"> </v>
      </c>
      <c r="AQ41" s="406" t="str">
        <f t="shared" si="67"/>
        <v xml:space="preserve"> </v>
      </c>
      <c r="AR41" s="406" t="str">
        <f t="shared" si="67"/>
        <v xml:space="preserve"> </v>
      </c>
      <c r="AS41" s="406" t="str">
        <f t="shared" si="67"/>
        <v xml:space="preserve"> </v>
      </c>
      <c r="AT41" s="406" t="str">
        <f t="shared" si="67"/>
        <v xml:space="preserve"> </v>
      </c>
      <c r="AU41" s="406" t="str">
        <f t="shared" si="67"/>
        <v xml:space="preserve"> </v>
      </c>
      <c r="AV41" s="406" t="str">
        <f t="shared" si="67"/>
        <v xml:space="preserve"> </v>
      </c>
      <c r="AW41" s="406" t="str">
        <f t="shared" si="67"/>
        <v xml:space="preserve"> </v>
      </c>
      <c r="AX41" s="406" t="str">
        <f t="shared" si="72"/>
        <v xml:space="preserve"> </v>
      </c>
      <c r="AY41" s="406" t="str">
        <f t="shared" si="72"/>
        <v xml:space="preserve"> </v>
      </c>
      <c r="AZ41" s="406" t="str">
        <f t="shared" si="72"/>
        <v xml:space="preserve"> </v>
      </c>
      <c r="BA41" s="406" t="str">
        <f t="shared" si="72"/>
        <v xml:space="preserve"> </v>
      </c>
      <c r="BB41" s="406" t="str">
        <f t="shared" si="72"/>
        <v xml:space="preserve"> </v>
      </c>
      <c r="BC41" s="406" t="str">
        <f t="shared" si="72"/>
        <v xml:space="preserve"> </v>
      </c>
      <c r="BD41" s="406" t="str">
        <f t="shared" si="72"/>
        <v xml:space="preserve"> </v>
      </c>
      <c r="BE41" s="406" t="str">
        <f t="shared" si="72"/>
        <v xml:space="preserve"> </v>
      </c>
      <c r="BF41" s="406" t="str">
        <f t="shared" si="72"/>
        <v xml:space="preserve"> </v>
      </c>
      <c r="BG41" s="406" t="str">
        <f t="shared" si="72"/>
        <v xml:space="preserve"> </v>
      </c>
      <c r="BH41" s="406" t="str">
        <f t="shared" si="72"/>
        <v xml:space="preserve"> </v>
      </c>
      <c r="BI41" s="406" t="str">
        <f t="shared" si="72"/>
        <v xml:space="preserve"> </v>
      </c>
      <c r="BJ41" s="406" t="str">
        <f t="shared" si="72"/>
        <v xml:space="preserve"> </v>
      </c>
      <c r="BK41" s="406" t="str">
        <f t="shared" si="72"/>
        <v xml:space="preserve"> </v>
      </c>
      <c r="BL41" s="406" t="str">
        <f t="shared" si="72"/>
        <v xml:space="preserve"> </v>
      </c>
      <c r="BM41" s="406" t="str">
        <f t="shared" si="72"/>
        <v xml:space="preserve"> </v>
      </c>
      <c r="BN41" s="406" t="str">
        <f t="shared" si="73"/>
        <v xml:space="preserve"> </v>
      </c>
      <c r="BO41" s="406" t="str">
        <f t="shared" si="73"/>
        <v xml:space="preserve"> </v>
      </c>
      <c r="BP41" s="406" t="str">
        <f t="shared" si="73"/>
        <v xml:space="preserve"> </v>
      </c>
      <c r="BQ41" s="406" t="str">
        <f t="shared" si="73"/>
        <v xml:space="preserve"> </v>
      </c>
      <c r="BR41" s="406" t="str">
        <f t="shared" si="73"/>
        <v xml:space="preserve"> </v>
      </c>
      <c r="BS41" s="406" t="str">
        <f t="shared" si="73"/>
        <v xml:space="preserve"> </v>
      </c>
      <c r="BT41" s="406" t="str">
        <f t="shared" si="73"/>
        <v xml:space="preserve"> </v>
      </c>
      <c r="BU41" s="406" t="str">
        <f t="shared" si="73"/>
        <v xml:space="preserve"> </v>
      </c>
      <c r="BV41" s="406" t="str">
        <f t="shared" si="73"/>
        <v xml:space="preserve"> </v>
      </c>
      <c r="BW41" s="406" t="str">
        <f t="shared" si="73"/>
        <v xml:space="preserve"> </v>
      </c>
      <c r="BX41" s="406" t="str">
        <f t="shared" si="73"/>
        <v xml:space="preserve"> </v>
      </c>
      <c r="BY41" s="406" t="str">
        <f t="shared" si="73"/>
        <v xml:space="preserve"> </v>
      </c>
      <c r="BZ41" s="406" t="str">
        <f t="shared" si="73"/>
        <v xml:space="preserve"> </v>
      </c>
      <c r="CA41" s="406" t="str">
        <f t="shared" si="73"/>
        <v xml:space="preserve"> </v>
      </c>
      <c r="CB41" s="407" t="str">
        <f t="shared" si="73"/>
        <v xml:space="preserve"> </v>
      </c>
      <c r="CC41" s="407" t="str">
        <f t="shared" si="73"/>
        <v xml:space="preserve"> </v>
      </c>
      <c r="CD41" s="407" t="str">
        <f t="shared" si="74"/>
        <v xml:space="preserve"> </v>
      </c>
      <c r="CE41" s="407" t="str">
        <f t="shared" si="74"/>
        <v xml:space="preserve"> </v>
      </c>
      <c r="CF41" s="407" t="str">
        <f t="shared" si="74"/>
        <v xml:space="preserve"> </v>
      </c>
      <c r="CG41" s="407" t="str">
        <f t="shared" si="74"/>
        <v xml:space="preserve"> </v>
      </c>
      <c r="CH41" s="407" t="str">
        <f t="shared" si="74"/>
        <v xml:space="preserve"> </v>
      </c>
      <c r="CI41" s="407" t="str">
        <f t="shared" si="74"/>
        <v xml:space="preserve"> </v>
      </c>
      <c r="CJ41" s="407" t="str">
        <f t="shared" si="74"/>
        <v xml:space="preserve"> </v>
      </c>
      <c r="CK41" s="407" t="str">
        <f t="shared" si="74"/>
        <v xml:space="preserve"> </v>
      </c>
      <c r="CL41" s="407" t="str">
        <f t="shared" si="74"/>
        <v xml:space="preserve"> </v>
      </c>
      <c r="CM41" s="407" t="str">
        <f t="shared" si="74"/>
        <v xml:space="preserve"> </v>
      </c>
      <c r="CN41" s="407" t="str">
        <f t="shared" si="74"/>
        <v xml:space="preserve"> </v>
      </c>
      <c r="CO41" s="407" t="str">
        <f t="shared" si="74"/>
        <v xml:space="preserve"> </v>
      </c>
      <c r="CP41" s="407" t="str">
        <f t="shared" si="74"/>
        <v xml:space="preserve"> </v>
      </c>
      <c r="CQ41" s="407" t="str">
        <f t="shared" si="74"/>
        <v xml:space="preserve"> </v>
      </c>
      <c r="CR41" s="407" t="str">
        <f t="shared" si="74"/>
        <v xml:space="preserve"> </v>
      </c>
      <c r="CS41" s="407" t="str">
        <f t="shared" si="74"/>
        <v xml:space="preserve"> </v>
      </c>
      <c r="CT41" s="407" t="str">
        <f t="shared" si="75"/>
        <v xml:space="preserve"> </v>
      </c>
      <c r="CU41" s="407" t="str">
        <f t="shared" si="75"/>
        <v xml:space="preserve"> </v>
      </c>
      <c r="CV41" s="407" t="str">
        <f t="shared" si="75"/>
        <v xml:space="preserve"> </v>
      </c>
      <c r="CW41" s="407" t="str">
        <f t="shared" si="75"/>
        <v xml:space="preserve"> </v>
      </c>
      <c r="CX41" s="407" t="str">
        <f t="shared" si="75"/>
        <v xml:space="preserve"> </v>
      </c>
      <c r="CY41" s="407" t="str">
        <f t="shared" si="75"/>
        <v xml:space="preserve"> </v>
      </c>
      <c r="CZ41" s="407" t="str">
        <f t="shared" si="75"/>
        <v xml:space="preserve"> </v>
      </c>
      <c r="DA41" s="407" t="str">
        <f t="shared" si="75"/>
        <v xml:space="preserve"> </v>
      </c>
      <c r="DB41" s="407" t="str">
        <f t="shared" si="75"/>
        <v xml:space="preserve"> </v>
      </c>
      <c r="DC41" s="407" t="str">
        <f t="shared" si="75"/>
        <v xml:space="preserve"> </v>
      </c>
      <c r="DD41" s="407" t="str">
        <f t="shared" si="69"/>
        <v xml:space="preserve"> </v>
      </c>
      <c r="DE41" s="407" t="str">
        <f t="shared" si="69"/>
        <v xml:space="preserve"> </v>
      </c>
      <c r="DF41" s="407" t="str">
        <f t="shared" si="69"/>
        <v xml:space="preserve"> </v>
      </c>
      <c r="DG41" s="407" t="str">
        <f t="shared" si="69"/>
        <v xml:space="preserve"> </v>
      </c>
      <c r="DH41" s="407" t="str">
        <f t="shared" si="69"/>
        <v xml:space="preserve"> </v>
      </c>
      <c r="DI41" s="407" t="str">
        <f t="shared" si="69"/>
        <v xml:space="preserve"> </v>
      </c>
      <c r="DJ41" s="407" t="str">
        <f t="shared" si="69"/>
        <v xml:space="preserve"> </v>
      </c>
      <c r="DK41" s="407" t="str">
        <f t="shared" si="69"/>
        <v xml:space="preserve"> </v>
      </c>
      <c r="DL41" s="407" t="str">
        <f t="shared" si="69"/>
        <v xml:space="preserve"> </v>
      </c>
      <c r="DM41" s="407" t="str">
        <f t="shared" si="69"/>
        <v xml:space="preserve"> </v>
      </c>
      <c r="DN41" s="407" t="str">
        <f t="shared" si="69"/>
        <v xml:space="preserve"> </v>
      </c>
      <c r="DO41" s="407" t="str">
        <f t="shared" si="69"/>
        <v xml:space="preserve"> </v>
      </c>
      <c r="DP41" s="407" t="str">
        <f t="shared" si="70"/>
        <v xml:space="preserve"> </v>
      </c>
      <c r="DQ41" s="407" t="str">
        <f t="shared" si="70"/>
        <v xml:space="preserve"> </v>
      </c>
      <c r="DR41" s="407" t="str">
        <f t="shared" si="70"/>
        <v xml:space="preserve"> </v>
      </c>
      <c r="DS41" s="407" t="str">
        <f t="shared" si="70"/>
        <v xml:space="preserve"> </v>
      </c>
      <c r="DT41" s="407" t="str">
        <f t="shared" si="70"/>
        <v xml:space="preserve"> </v>
      </c>
      <c r="DU41" s="407" t="str">
        <f t="shared" si="70"/>
        <v xml:space="preserve"> </v>
      </c>
      <c r="DV41" s="407" t="str">
        <f t="shared" si="70"/>
        <v xml:space="preserve"> </v>
      </c>
      <c r="DW41" s="407" t="str">
        <f t="shared" si="70"/>
        <v xml:space="preserve"> </v>
      </c>
      <c r="DX41" s="407" t="str">
        <f t="shared" si="70"/>
        <v xml:space="preserve"> </v>
      </c>
      <c r="DY41" s="407" t="str">
        <f t="shared" si="70"/>
        <v xml:space="preserve"> </v>
      </c>
      <c r="DZ41" s="407" t="str">
        <f t="shared" si="70"/>
        <v xml:space="preserve"> </v>
      </c>
      <c r="EA41" s="407" t="str">
        <f t="shared" si="70"/>
        <v xml:space="preserve"> </v>
      </c>
      <c r="EB41" s="407" t="str">
        <f t="shared" si="70"/>
        <v xml:space="preserve"> </v>
      </c>
      <c r="EC41" s="407" t="str">
        <f t="shared" si="70"/>
        <v xml:space="preserve"> </v>
      </c>
      <c r="ED41" s="407" t="str">
        <f t="shared" si="70"/>
        <v xml:space="preserve"> </v>
      </c>
      <c r="EE41" s="407" t="str">
        <f t="shared" si="70"/>
        <v xml:space="preserve"> </v>
      </c>
    </row>
    <row r="42" spans="1:135" s="408" customFormat="1" x14ac:dyDescent="0.25">
      <c r="A42" s="390">
        <v>2</v>
      </c>
      <c r="B42" s="391" t="str">
        <f t="shared" si="25"/>
        <v>3.6</v>
      </c>
      <c r="C42" s="390" t="s">
        <v>920</v>
      </c>
      <c r="D42" s="393"/>
      <c r="E42" s="394"/>
      <c r="F42" s="409"/>
      <c r="G42" s="410"/>
      <c r="H42" s="410"/>
      <c r="I42" s="410"/>
      <c r="J42" s="411">
        <v>45748</v>
      </c>
      <c r="K42" s="412"/>
      <c r="L42" s="413"/>
      <c r="M42" s="411">
        <v>45777</v>
      </c>
      <c r="N42" s="414" t="s">
        <v>869</v>
      </c>
      <c r="O42" s="415">
        <v>0</v>
      </c>
      <c r="P42" s="401" t="s">
        <v>866</v>
      </c>
      <c r="Q42" s="402">
        <f t="shared" si="60"/>
        <v>45748</v>
      </c>
      <c r="R42" s="402">
        <f t="shared" si="27"/>
        <v>45777</v>
      </c>
      <c r="S42" s="403">
        <f t="shared" si="28"/>
        <v>20</v>
      </c>
      <c r="T42" s="403">
        <f t="shared" si="36"/>
        <v>30</v>
      </c>
      <c r="U42" s="404"/>
      <c r="V42" s="404"/>
      <c r="W42" s="405"/>
      <c r="X42" s="406" t="str">
        <f t="shared" si="71"/>
        <v xml:space="preserve"> </v>
      </c>
      <c r="Y42" s="406" t="str">
        <f t="shared" si="71"/>
        <v xml:space="preserve"> </v>
      </c>
      <c r="Z42" s="406" t="str">
        <f t="shared" si="71"/>
        <v xml:space="preserve"> </v>
      </c>
      <c r="AA42" s="406" t="str">
        <f t="shared" si="71"/>
        <v xml:space="preserve"> </v>
      </c>
      <c r="AB42" s="406" t="str">
        <f t="shared" si="71"/>
        <v xml:space="preserve"> </v>
      </c>
      <c r="AC42" s="406" t="str">
        <f t="shared" si="71"/>
        <v xml:space="preserve"> </v>
      </c>
      <c r="AD42" s="406" t="str">
        <f t="shared" si="71"/>
        <v xml:space="preserve"> </v>
      </c>
      <c r="AE42" s="406" t="str">
        <f t="shared" si="71"/>
        <v xml:space="preserve"> </v>
      </c>
      <c r="AF42" s="406" t="str">
        <f t="shared" si="71"/>
        <v xml:space="preserve"> </v>
      </c>
      <c r="AG42" s="406" t="str">
        <f t="shared" si="71"/>
        <v xml:space="preserve"> </v>
      </c>
      <c r="AH42" s="406" t="str">
        <f t="shared" si="67"/>
        <v xml:space="preserve"> </v>
      </c>
      <c r="AI42" s="406" t="str">
        <f t="shared" si="67"/>
        <v xml:space="preserve"> </v>
      </c>
      <c r="AJ42" s="406" t="str">
        <f t="shared" si="67"/>
        <v xml:space="preserve"> </v>
      </c>
      <c r="AK42" s="406" t="str">
        <f t="shared" si="67"/>
        <v xml:space="preserve"> </v>
      </c>
      <c r="AL42" s="406" t="str">
        <f t="shared" si="67"/>
        <v xml:space="preserve"> </v>
      </c>
      <c r="AM42" s="406" t="str">
        <f t="shared" si="67"/>
        <v xml:space="preserve"> </v>
      </c>
      <c r="AN42" s="406" t="str">
        <f t="shared" si="67"/>
        <v xml:space="preserve"> </v>
      </c>
      <c r="AO42" s="406" t="str">
        <f t="shared" si="67"/>
        <v xml:space="preserve"> </v>
      </c>
      <c r="AP42" s="406" t="str">
        <f t="shared" si="67"/>
        <v xml:space="preserve"> </v>
      </c>
      <c r="AQ42" s="406" t="str">
        <f t="shared" si="67"/>
        <v xml:space="preserve"> </v>
      </c>
      <c r="AR42" s="406" t="str">
        <f t="shared" si="67"/>
        <v xml:space="preserve"> </v>
      </c>
      <c r="AS42" s="406" t="str">
        <f t="shared" si="67"/>
        <v xml:space="preserve"> </v>
      </c>
      <c r="AT42" s="406" t="str">
        <f t="shared" si="67"/>
        <v xml:space="preserve"> </v>
      </c>
      <c r="AU42" s="406" t="str">
        <f t="shared" si="67"/>
        <v xml:space="preserve"> </v>
      </c>
      <c r="AV42" s="406" t="str">
        <f t="shared" si="67"/>
        <v xml:space="preserve"> </v>
      </c>
      <c r="AW42" s="406" t="str">
        <f t="shared" si="67"/>
        <v xml:space="preserve"> </v>
      </c>
      <c r="AX42" s="406" t="str">
        <f t="shared" si="72"/>
        <v xml:space="preserve"> </v>
      </c>
      <c r="AY42" s="406" t="str">
        <f t="shared" si="72"/>
        <v xml:space="preserve"> </v>
      </c>
      <c r="AZ42" s="406" t="str">
        <f t="shared" si="72"/>
        <v xml:space="preserve"> </v>
      </c>
      <c r="BA42" s="406" t="str">
        <f t="shared" si="72"/>
        <v xml:space="preserve"> </v>
      </c>
      <c r="BB42" s="406" t="str">
        <f t="shared" si="72"/>
        <v xml:space="preserve"> </v>
      </c>
      <c r="BC42" s="406" t="str">
        <f t="shared" si="72"/>
        <v xml:space="preserve"> </v>
      </c>
      <c r="BD42" s="406" t="str">
        <f t="shared" si="72"/>
        <v xml:space="preserve"> </v>
      </c>
      <c r="BE42" s="406" t="str">
        <f t="shared" si="72"/>
        <v xml:space="preserve"> </v>
      </c>
      <c r="BF42" s="406" t="str">
        <f t="shared" si="72"/>
        <v xml:space="preserve"> </v>
      </c>
      <c r="BG42" s="406" t="str">
        <f t="shared" si="72"/>
        <v xml:space="preserve"> </v>
      </c>
      <c r="BH42" s="406" t="str">
        <f t="shared" si="72"/>
        <v xml:space="preserve"> </v>
      </c>
      <c r="BI42" s="406" t="str">
        <f t="shared" si="72"/>
        <v xml:space="preserve"> </v>
      </c>
      <c r="BJ42" s="406" t="str">
        <f t="shared" si="72"/>
        <v xml:space="preserve"> </v>
      </c>
      <c r="BK42" s="406" t="str">
        <f t="shared" si="72"/>
        <v xml:space="preserve"> </v>
      </c>
      <c r="BL42" s="406" t="str">
        <f t="shared" si="72"/>
        <v xml:space="preserve"> </v>
      </c>
      <c r="BM42" s="406" t="str">
        <f t="shared" si="72"/>
        <v xml:space="preserve"> </v>
      </c>
      <c r="BN42" s="406" t="str">
        <f t="shared" si="73"/>
        <v xml:space="preserve"> </v>
      </c>
      <c r="BO42" s="406" t="str">
        <f t="shared" si="73"/>
        <v xml:space="preserve"> </v>
      </c>
      <c r="BP42" s="406" t="str">
        <f t="shared" si="73"/>
        <v xml:space="preserve"> </v>
      </c>
      <c r="BQ42" s="406" t="str">
        <f t="shared" si="73"/>
        <v xml:space="preserve"> </v>
      </c>
      <c r="BR42" s="406" t="str">
        <f t="shared" si="73"/>
        <v xml:space="preserve"> </v>
      </c>
      <c r="BS42" s="406" t="str">
        <f t="shared" si="73"/>
        <v xml:space="preserve"> </v>
      </c>
      <c r="BT42" s="406" t="str">
        <f t="shared" si="73"/>
        <v xml:space="preserve"> </v>
      </c>
      <c r="BU42" s="406" t="str">
        <f t="shared" si="73"/>
        <v xml:space="preserve"> </v>
      </c>
      <c r="BV42" s="406" t="str">
        <f t="shared" si="73"/>
        <v xml:space="preserve"> </v>
      </c>
      <c r="BW42" s="406" t="str">
        <f t="shared" si="73"/>
        <v xml:space="preserve"> </v>
      </c>
      <c r="BX42" s="406" t="str">
        <f t="shared" si="73"/>
        <v xml:space="preserve"> </v>
      </c>
      <c r="BY42" s="406" t="str">
        <f t="shared" si="73"/>
        <v xml:space="preserve"> </v>
      </c>
      <c r="BZ42" s="406" t="str">
        <f t="shared" si="73"/>
        <v xml:space="preserve"> </v>
      </c>
      <c r="CA42" s="406" t="str">
        <f t="shared" si="73"/>
        <v xml:space="preserve"> </v>
      </c>
      <c r="CB42" s="407" t="str">
        <f t="shared" si="73"/>
        <v xml:space="preserve"> </v>
      </c>
      <c r="CC42" s="407" t="str">
        <f t="shared" si="73"/>
        <v xml:space="preserve"> </v>
      </c>
      <c r="CD42" s="407" t="str">
        <f t="shared" si="74"/>
        <v xml:space="preserve"> </v>
      </c>
      <c r="CE42" s="407" t="str">
        <f t="shared" si="74"/>
        <v xml:space="preserve"> </v>
      </c>
      <c r="CF42" s="407" t="str">
        <f t="shared" si="74"/>
        <v xml:space="preserve"> </v>
      </c>
      <c r="CG42" s="407" t="str">
        <f t="shared" si="74"/>
        <v xml:space="preserve"> </v>
      </c>
      <c r="CH42" s="407" t="str">
        <f t="shared" si="74"/>
        <v xml:space="preserve"> </v>
      </c>
      <c r="CI42" s="407" t="str">
        <f t="shared" si="74"/>
        <v xml:space="preserve"> </v>
      </c>
      <c r="CJ42" s="407" t="str">
        <f t="shared" si="74"/>
        <v xml:space="preserve"> </v>
      </c>
      <c r="CK42" s="407" t="str">
        <f t="shared" si="74"/>
        <v xml:space="preserve"> </v>
      </c>
      <c r="CL42" s="407" t="str">
        <f t="shared" si="74"/>
        <v xml:space="preserve"> </v>
      </c>
      <c r="CM42" s="407" t="str">
        <f t="shared" si="74"/>
        <v xml:space="preserve"> </v>
      </c>
      <c r="CN42" s="407" t="str">
        <f t="shared" si="74"/>
        <v xml:space="preserve"> </v>
      </c>
      <c r="CO42" s="407" t="str">
        <f t="shared" si="74"/>
        <v xml:space="preserve"> </v>
      </c>
      <c r="CP42" s="407" t="str">
        <f t="shared" si="74"/>
        <v xml:space="preserve"> </v>
      </c>
      <c r="CQ42" s="407" t="str">
        <f t="shared" si="74"/>
        <v xml:space="preserve"> </v>
      </c>
      <c r="CR42" s="407" t="str">
        <f t="shared" si="74"/>
        <v xml:space="preserve"> </v>
      </c>
      <c r="CS42" s="407" t="str">
        <f t="shared" si="74"/>
        <v xml:space="preserve"> </v>
      </c>
      <c r="CT42" s="407" t="str">
        <f t="shared" si="75"/>
        <v xml:space="preserve"> </v>
      </c>
      <c r="CU42" s="407" t="str">
        <f t="shared" si="75"/>
        <v xml:space="preserve"> </v>
      </c>
      <c r="CV42" s="407" t="str">
        <f t="shared" si="75"/>
        <v xml:space="preserve"> </v>
      </c>
      <c r="CW42" s="407" t="str">
        <f t="shared" si="75"/>
        <v xml:space="preserve"> </v>
      </c>
      <c r="CX42" s="407" t="str">
        <f t="shared" si="75"/>
        <v xml:space="preserve"> </v>
      </c>
      <c r="CY42" s="407" t="str">
        <f t="shared" si="75"/>
        <v xml:space="preserve"> </v>
      </c>
      <c r="CZ42" s="407" t="str">
        <f t="shared" si="75"/>
        <v xml:space="preserve"> </v>
      </c>
      <c r="DA42" s="407" t="str">
        <f t="shared" si="75"/>
        <v xml:space="preserve"> </v>
      </c>
      <c r="DB42" s="407" t="str">
        <f t="shared" si="75"/>
        <v xml:space="preserve"> </v>
      </c>
      <c r="DC42" s="407" t="str">
        <f t="shared" si="75"/>
        <v xml:space="preserve"> </v>
      </c>
      <c r="DD42" s="407" t="str">
        <f t="shared" si="69"/>
        <v xml:space="preserve"> </v>
      </c>
      <c r="DE42" s="407" t="str">
        <f t="shared" si="69"/>
        <v xml:space="preserve"> </v>
      </c>
      <c r="DF42" s="407" t="str">
        <f t="shared" si="69"/>
        <v xml:space="preserve"> </v>
      </c>
      <c r="DG42" s="407" t="str">
        <f t="shared" si="69"/>
        <v xml:space="preserve"> </v>
      </c>
      <c r="DH42" s="407" t="str">
        <f t="shared" si="69"/>
        <v xml:space="preserve"> </v>
      </c>
      <c r="DI42" s="407" t="str">
        <f t="shared" si="69"/>
        <v xml:space="preserve"> </v>
      </c>
      <c r="DJ42" s="407" t="str">
        <f t="shared" si="69"/>
        <v xml:space="preserve"> </v>
      </c>
      <c r="DK42" s="407" t="str">
        <f t="shared" si="69"/>
        <v xml:space="preserve"> </v>
      </c>
      <c r="DL42" s="407" t="str">
        <f t="shared" si="69"/>
        <v xml:space="preserve"> </v>
      </c>
      <c r="DM42" s="407" t="str">
        <f t="shared" si="69"/>
        <v xml:space="preserve"> </v>
      </c>
      <c r="DN42" s="407" t="str">
        <f t="shared" si="69"/>
        <v xml:space="preserve"> </v>
      </c>
      <c r="DO42" s="407" t="str">
        <f t="shared" si="69"/>
        <v xml:space="preserve"> </v>
      </c>
      <c r="DP42" s="407" t="str">
        <f t="shared" si="70"/>
        <v xml:space="preserve"> </v>
      </c>
      <c r="DQ42" s="407" t="str">
        <f t="shared" si="70"/>
        <v xml:space="preserve"> </v>
      </c>
      <c r="DR42" s="407" t="str">
        <f t="shared" si="70"/>
        <v xml:space="preserve"> </v>
      </c>
      <c r="DS42" s="407" t="str">
        <f t="shared" si="70"/>
        <v xml:space="preserve"> </v>
      </c>
      <c r="DT42" s="407" t="str">
        <f t="shared" si="70"/>
        <v xml:space="preserve"> </v>
      </c>
      <c r="DU42" s="407" t="str">
        <f t="shared" si="70"/>
        <v xml:space="preserve"> </v>
      </c>
      <c r="DV42" s="407" t="str">
        <f t="shared" si="70"/>
        <v xml:space="preserve"> </v>
      </c>
      <c r="DW42" s="407" t="str">
        <f t="shared" si="70"/>
        <v xml:space="preserve"> </v>
      </c>
      <c r="DX42" s="407" t="str">
        <f t="shared" si="70"/>
        <v xml:space="preserve"> </v>
      </c>
      <c r="DY42" s="407" t="str">
        <f t="shared" si="70"/>
        <v xml:space="preserve"> </v>
      </c>
      <c r="DZ42" s="407" t="str">
        <f t="shared" si="70"/>
        <v xml:space="preserve"> </v>
      </c>
      <c r="EA42" s="407" t="str">
        <f t="shared" si="70"/>
        <v xml:space="preserve"> </v>
      </c>
      <c r="EB42" s="407" t="str">
        <f t="shared" si="70"/>
        <v xml:space="preserve"> </v>
      </c>
      <c r="EC42" s="407" t="str">
        <f t="shared" si="70"/>
        <v xml:space="preserve"> </v>
      </c>
      <c r="ED42" s="407" t="str">
        <f t="shared" si="70"/>
        <v xml:space="preserve"> </v>
      </c>
      <c r="EE42" s="407" t="str">
        <f t="shared" si="70"/>
        <v xml:space="preserve"> </v>
      </c>
    </row>
    <row r="43" spans="1:135" s="408" customFormat="1" x14ac:dyDescent="0.25">
      <c r="A43" s="390">
        <v>2</v>
      </c>
      <c r="B43" s="391" t="str">
        <f t="shared" si="25"/>
        <v>3.7</v>
      </c>
      <c r="C43" s="390" t="s">
        <v>921</v>
      </c>
      <c r="D43" s="393"/>
      <c r="E43" s="394"/>
      <c r="F43" s="409"/>
      <c r="G43" s="410"/>
      <c r="H43" s="410"/>
      <c r="I43" s="410"/>
      <c r="J43" s="411">
        <v>45748</v>
      </c>
      <c r="K43" s="412"/>
      <c r="L43" s="413"/>
      <c r="M43" s="411">
        <v>45777</v>
      </c>
      <c r="N43" s="414" t="s">
        <v>870</v>
      </c>
      <c r="O43" s="415">
        <v>0</v>
      </c>
      <c r="P43" s="401" t="s">
        <v>866</v>
      </c>
      <c r="Q43" s="402">
        <f t="shared" si="60"/>
        <v>45748</v>
      </c>
      <c r="R43" s="402">
        <f t="shared" si="27"/>
        <v>45777</v>
      </c>
      <c r="S43" s="403">
        <f t="shared" si="28"/>
        <v>20</v>
      </c>
      <c r="T43" s="403">
        <f t="shared" si="36"/>
        <v>30</v>
      </c>
      <c r="U43" s="404"/>
      <c r="V43" s="404"/>
      <c r="W43" s="405"/>
      <c r="X43" s="406" t="str">
        <f t="shared" si="71"/>
        <v xml:space="preserve"> </v>
      </c>
      <c r="Y43" s="406" t="str">
        <f t="shared" si="71"/>
        <v xml:space="preserve"> </v>
      </c>
      <c r="Z43" s="406" t="str">
        <f t="shared" si="71"/>
        <v xml:space="preserve"> </v>
      </c>
      <c r="AA43" s="406" t="str">
        <f t="shared" si="71"/>
        <v xml:space="preserve"> </v>
      </c>
      <c r="AB43" s="406" t="str">
        <f t="shared" si="71"/>
        <v xml:space="preserve"> </v>
      </c>
      <c r="AC43" s="406" t="str">
        <f t="shared" si="71"/>
        <v xml:space="preserve"> </v>
      </c>
      <c r="AD43" s="406" t="str">
        <f t="shared" si="71"/>
        <v xml:space="preserve"> </v>
      </c>
      <c r="AE43" s="406" t="str">
        <f t="shared" si="71"/>
        <v xml:space="preserve"> </v>
      </c>
      <c r="AF43" s="406" t="str">
        <f t="shared" si="71"/>
        <v xml:space="preserve"> </v>
      </c>
      <c r="AG43" s="406" t="str">
        <f t="shared" si="71"/>
        <v xml:space="preserve"> </v>
      </c>
      <c r="AH43" s="406" t="str">
        <f t="shared" si="67"/>
        <v xml:space="preserve"> </v>
      </c>
      <c r="AI43" s="406" t="str">
        <f t="shared" si="67"/>
        <v xml:space="preserve"> </v>
      </c>
      <c r="AJ43" s="406" t="str">
        <f t="shared" si="67"/>
        <v xml:space="preserve"> </v>
      </c>
      <c r="AK43" s="406" t="str">
        <f t="shared" si="67"/>
        <v xml:space="preserve"> </v>
      </c>
      <c r="AL43" s="406" t="str">
        <f t="shared" si="67"/>
        <v xml:space="preserve"> </v>
      </c>
      <c r="AM43" s="406" t="str">
        <f t="shared" si="67"/>
        <v xml:space="preserve"> </v>
      </c>
      <c r="AN43" s="406" t="str">
        <f t="shared" si="67"/>
        <v xml:space="preserve"> </v>
      </c>
      <c r="AO43" s="406" t="str">
        <f t="shared" si="67"/>
        <v xml:space="preserve"> </v>
      </c>
      <c r="AP43" s="406" t="str">
        <f t="shared" si="67"/>
        <v xml:space="preserve"> </v>
      </c>
      <c r="AQ43" s="406" t="str">
        <f t="shared" si="67"/>
        <v xml:space="preserve"> </v>
      </c>
      <c r="AR43" s="406" t="str">
        <f t="shared" si="67"/>
        <v xml:space="preserve"> </v>
      </c>
      <c r="AS43" s="406" t="str">
        <f t="shared" si="67"/>
        <v xml:space="preserve"> </v>
      </c>
      <c r="AT43" s="406" t="str">
        <f t="shared" si="67"/>
        <v xml:space="preserve"> </v>
      </c>
      <c r="AU43" s="406" t="str">
        <f t="shared" si="67"/>
        <v xml:space="preserve"> </v>
      </c>
      <c r="AV43" s="406" t="str">
        <f t="shared" si="67"/>
        <v xml:space="preserve"> </v>
      </c>
      <c r="AW43" s="406" t="str">
        <f t="shared" si="67"/>
        <v xml:space="preserve"> </v>
      </c>
      <c r="AX43" s="406" t="str">
        <f t="shared" si="72"/>
        <v xml:space="preserve"> </v>
      </c>
      <c r="AY43" s="406" t="str">
        <f t="shared" si="72"/>
        <v xml:space="preserve"> </v>
      </c>
      <c r="AZ43" s="406" t="str">
        <f t="shared" si="72"/>
        <v xml:space="preserve"> </v>
      </c>
      <c r="BA43" s="406" t="str">
        <f t="shared" si="72"/>
        <v xml:space="preserve"> </v>
      </c>
      <c r="BB43" s="406" t="str">
        <f t="shared" si="72"/>
        <v xml:space="preserve"> </v>
      </c>
      <c r="BC43" s="406" t="str">
        <f t="shared" si="72"/>
        <v xml:space="preserve"> </v>
      </c>
      <c r="BD43" s="406" t="str">
        <f t="shared" si="72"/>
        <v xml:space="preserve"> </v>
      </c>
      <c r="BE43" s="406" t="str">
        <f t="shared" si="72"/>
        <v xml:space="preserve"> </v>
      </c>
      <c r="BF43" s="406" t="str">
        <f t="shared" si="72"/>
        <v xml:space="preserve"> </v>
      </c>
      <c r="BG43" s="406" t="str">
        <f t="shared" si="72"/>
        <v xml:space="preserve"> </v>
      </c>
      <c r="BH43" s="406" t="str">
        <f t="shared" si="72"/>
        <v xml:space="preserve"> </v>
      </c>
      <c r="BI43" s="406" t="str">
        <f t="shared" si="72"/>
        <v xml:space="preserve"> </v>
      </c>
      <c r="BJ43" s="406" t="str">
        <f t="shared" si="72"/>
        <v xml:space="preserve"> </v>
      </c>
      <c r="BK43" s="406" t="str">
        <f t="shared" si="72"/>
        <v xml:space="preserve"> </v>
      </c>
      <c r="BL43" s="406" t="str">
        <f t="shared" si="72"/>
        <v xml:space="preserve"> </v>
      </c>
      <c r="BM43" s="406" t="str">
        <f t="shared" si="72"/>
        <v xml:space="preserve"> </v>
      </c>
      <c r="BN43" s="406" t="str">
        <f t="shared" si="73"/>
        <v xml:space="preserve"> </v>
      </c>
      <c r="BO43" s="406" t="str">
        <f t="shared" si="73"/>
        <v xml:space="preserve"> </v>
      </c>
      <c r="BP43" s="406" t="str">
        <f t="shared" si="73"/>
        <v xml:space="preserve"> </v>
      </c>
      <c r="BQ43" s="406" t="str">
        <f t="shared" si="73"/>
        <v xml:space="preserve"> </v>
      </c>
      <c r="BR43" s="406" t="str">
        <f t="shared" si="73"/>
        <v xml:space="preserve"> </v>
      </c>
      <c r="BS43" s="406" t="str">
        <f t="shared" si="73"/>
        <v xml:space="preserve"> </v>
      </c>
      <c r="BT43" s="406" t="str">
        <f t="shared" si="73"/>
        <v xml:space="preserve"> </v>
      </c>
      <c r="BU43" s="406" t="str">
        <f t="shared" si="73"/>
        <v xml:space="preserve"> </v>
      </c>
      <c r="BV43" s="406" t="str">
        <f t="shared" si="73"/>
        <v xml:space="preserve"> </v>
      </c>
      <c r="BW43" s="406" t="str">
        <f t="shared" si="73"/>
        <v xml:space="preserve"> </v>
      </c>
      <c r="BX43" s="406" t="str">
        <f t="shared" si="73"/>
        <v xml:space="preserve"> </v>
      </c>
      <c r="BY43" s="406" t="str">
        <f t="shared" si="73"/>
        <v xml:space="preserve"> </v>
      </c>
      <c r="BZ43" s="406" t="str">
        <f t="shared" si="73"/>
        <v xml:space="preserve"> </v>
      </c>
      <c r="CA43" s="406" t="str">
        <f t="shared" si="73"/>
        <v xml:space="preserve"> </v>
      </c>
      <c r="CB43" s="407" t="str">
        <f t="shared" si="73"/>
        <v xml:space="preserve"> </v>
      </c>
      <c r="CC43" s="407" t="str">
        <f t="shared" si="73"/>
        <v xml:space="preserve"> </v>
      </c>
      <c r="CD43" s="407" t="str">
        <f t="shared" si="74"/>
        <v xml:space="preserve"> </v>
      </c>
      <c r="CE43" s="407" t="str">
        <f t="shared" si="74"/>
        <v xml:space="preserve"> </v>
      </c>
      <c r="CF43" s="407" t="str">
        <f t="shared" si="74"/>
        <v xml:space="preserve"> </v>
      </c>
      <c r="CG43" s="407" t="str">
        <f t="shared" si="74"/>
        <v xml:space="preserve"> </v>
      </c>
      <c r="CH43" s="407" t="str">
        <f t="shared" si="74"/>
        <v xml:space="preserve"> </v>
      </c>
      <c r="CI43" s="407" t="str">
        <f t="shared" si="74"/>
        <v xml:space="preserve"> </v>
      </c>
      <c r="CJ43" s="407" t="str">
        <f t="shared" si="74"/>
        <v xml:space="preserve"> </v>
      </c>
      <c r="CK43" s="407" t="str">
        <f t="shared" si="74"/>
        <v xml:space="preserve"> </v>
      </c>
      <c r="CL43" s="407" t="str">
        <f t="shared" si="74"/>
        <v xml:space="preserve"> </v>
      </c>
      <c r="CM43" s="407" t="str">
        <f t="shared" si="74"/>
        <v xml:space="preserve"> </v>
      </c>
      <c r="CN43" s="407" t="str">
        <f t="shared" si="74"/>
        <v xml:space="preserve"> </v>
      </c>
      <c r="CO43" s="407" t="str">
        <f t="shared" si="74"/>
        <v xml:space="preserve"> </v>
      </c>
      <c r="CP43" s="407" t="str">
        <f t="shared" si="74"/>
        <v xml:space="preserve"> </v>
      </c>
      <c r="CQ43" s="407" t="str">
        <f t="shared" si="74"/>
        <v xml:space="preserve"> </v>
      </c>
      <c r="CR43" s="407" t="str">
        <f t="shared" si="74"/>
        <v xml:space="preserve"> </v>
      </c>
      <c r="CS43" s="407" t="str">
        <f t="shared" si="74"/>
        <v xml:space="preserve"> </v>
      </c>
      <c r="CT43" s="407" t="str">
        <f t="shared" si="75"/>
        <v xml:space="preserve"> </v>
      </c>
      <c r="CU43" s="407" t="str">
        <f t="shared" si="75"/>
        <v xml:space="preserve"> </v>
      </c>
      <c r="CV43" s="407" t="str">
        <f t="shared" si="75"/>
        <v xml:space="preserve"> </v>
      </c>
      <c r="CW43" s="407" t="str">
        <f t="shared" si="75"/>
        <v xml:space="preserve"> </v>
      </c>
      <c r="CX43" s="407" t="str">
        <f t="shared" si="75"/>
        <v xml:space="preserve"> </v>
      </c>
      <c r="CY43" s="407" t="str">
        <f t="shared" si="75"/>
        <v xml:space="preserve"> </v>
      </c>
      <c r="CZ43" s="407" t="str">
        <f t="shared" si="75"/>
        <v xml:space="preserve"> </v>
      </c>
      <c r="DA43" s="407" t="str">
        <f t="shared" si="75"/>
        <v xml:space="preserve"> </v>
      </c>
      <c r="DB43" s="407" t="str">
        <f t="shared" si="75"/>
        <v xml:space="preserve"> </v>
      </c>
      <c r="DC43" s="407" t="str">
        <f t="shared" si="75"/>
        <v xml:space="preserve"> </v>
      </c>
      <c r="DD43" s="407" t="str">
        <f t="shared" si="69"/>
        <v xml:space="preserve"> </v>
      </c>
      <c r="DE43" s="407" t="str">
        <f t="shared" si="69"/>
        <v xml:space="preserve"> </v>
      </c>
      <c r="DF43" s="407" t="str">
        <f t="shared" si="69"/>
        <v xml:space="preserve"> </v>
      </c>
      <c r="DG43" s="407" t="str">
        <f t="shared" si="69"/>
        <v xml:space="preserve"> </v>
      </c>
      <c r="DH43" s="407" t="str">
        <f t="shared" si="69"/>
        <v xml:space="preserve"> </v>
      </c>
      <c r="DI43" s="407" t="str">
        <f t="shared" si="69"/>
        <v xml:space="preserve"> </v>
      </c>
      <c r="DJ43" s="407" t="str">
        <f t="shared" si="69"/>
        <v xml:space="preserve"> </v>
      </c>
      <c r="DK43" s="407" t="str">
        <f t="shared" si="69"/>
        <v xml:space="preserve"> </v>
      </c>
      <c r="DL43" s="407" t="str">
        <f t="shared" si="69"/>
        <v xml:space="preserve"> </v>
      </c>
      <c r="DM43" s="407" t="str">
        <f t="shared" si="69"/>
        <v xml:space="preserve"> </v>
      </c>
      <c r="DN43" s="407" t="str">
        <f t="shared" si="69"/>
        <v xml:space="preserve"> </v>
      </c>
      <c r="DO43" s="407" t="str">
        <f t="shared" si="69"/>
        <v xml:space="preserve"> </v>
      </c>
      <c r="DP43" s="407" t="str">
        <f t="shared" si="70"/>
        <v xml:space="preserve"> </v>
      </c>
      <c r="DQ43" s="407" t="str">
        <f t="shared" si="70"/>
        <v xml:space="preserve"> </v>
      </c>
      <c r="DR43" s="407" t="str">
        <f t="shared" si="70"/>
        <v xml:space="preserve"> </v>
      </c>
      <c r="DS43" s="407" t="str">
        <f t="shared" si="70"/>
        <v xml:space="preserve"> </v>
      </c>
      <c r="DT43" s="407" t="str">
        <f t="shared" si="70"/>
        <v xml:space="preserve"> </v>
      </c>
      <c r="DU43" s="407" t="str">
        <f t="shared" si="70"/>
        <v xml:space="preserve"> </v>
      </c>
      <c r="DV43" s="407" t="str">
        <f t="shared" si="70"/>
        <v xml:space="preserve"> </v>
      </c>
      <c r="DW43" s="407" t="str">
        <f t="shared" si="70"/>
        <v xml:space="preserve"> </v>
      </c>
      <c r="DX43" s="407" t="str">
        <f t="shared" si="70"/>
        <v xml:space="preserve"> </v>
      </c>
      <c r="DY43" s="407" t="str">
        <f t="shared" si="70"/>
        <v xml:space="preserve"> </v>
      </c>
      <c r="DZ43" s="407" t="str">
        <f t="shared" si="70"/>
        <v xml:space="preserve"> </v>
      </c>
      <c r="EA43" s="407" t="str">
        <f t="shared" si="70"/>
        <v xml:space="preserve"> </v>
      </c>
      <c r="EB43" s="407" t="str">
        <f t="shared" si="70"/>
        <v xml:space="preserve"> </v>
      </c>
      <c r="EC43" s="407" t="str">
        <f t="shared" si="70"/>
        <v xml:space="preserve"> </v>
      </c>
      <c r="ED43" s="407" t="str">
        <f t="shared" si="70"/>
        <v xml:space="preserve"> </v>
      </c>
      <c r="EE43" s="407" t="str">
        <f t="shared" si="70"/>
        <v xml:space="preserve"> </v>
      </c>
    </row>
    <row r="44" spans="1:135" s="408" customFormat="1" x14ac:dyDescent="0.25">
      <c r="A44" s="390">
        <v>2</v>
      </c>
      <c r="B44" s="391" t="str">
        <f t="shared" si="25"/>
        <v>3.8</v>
      </c>
      <c r="C44" s="390" t="s">
        <v>922</v>
      </c>
      <c r="D44" s="393"/>
      <c r="E44" s="394"/>
      <c r="F44" s="409"/>
      <c r="G44" s="410"/>
      <c r="H44" s="410"/>
      <c r="I44" s="410"/>
      <c r="J44" s="411">
        <v>45777</v>
      </c>
      <c r="K44" s="412"/>
      <c r="L44" s="413"/>
      <c r="M44" s="411">
        <v>45777</v>
      </c>
      <c r="N44" s="414" t="s">
        <v>127</v>
      </c>
      <c r="O44" s="415">
        <v>0</v>
      </c>
      <c r="P44" s="401">
        <v>3</v>
      </c>
      <c r="Q44" s="402">
        <f t="shared" si="60"/>
        <v>45777</v>
      </c>
      <c r="R44" s="402">
        <f t="shared" si="27"/>
        <v>45777</v>
      </c>
      <c r="S44" s="403">
        <f t="shared" si="28"/>
        <v>1</v>
      </c>
      <c r="T44" s="403">
        <f t="shared" si="36"/>
        <v>1</v>
      </c>
      <c r="U44" s="404"/>
      <c r="V44" s="404"/>
      <c r="W44" s="405"/>
      <c r="X44" s="406" t="str">
        <f t="shared" si="71"/>
        <v xml:space="preserve"> </v>
      </c>
      <c r="Y44" s="406" t="str">
        <f t="shared" si="71"/>
        <v xml:space="preserve"> </v>
      </c>
      <c r="Z44" s="406" t="str">
        <f t="shared" si="71"/>
        <v xml:space="preserve"> </v>
      </c>
      <c r="AA44" s="406" t="str">
        <f t="shared" si="71"/>
        <v xml:space="preserve"> </v>
      </c>
      <c r="AB44" s="406" t="str">
        <f t="shared" si="71"/>
        <v xml:space="preserve"> </v>
      </c>
      <c r="AC44" s="406" t="str">
        <f t="shared" si="71"/>
        <v xml:space="preserve"> </v>
      </c>
      <c r="AD44" s="406" t="str">
        <f t="shared" si="71"/>
        <v xml:space="preserve"> </v>
      </c>
      <c r="AE44" s="406" t="str">
        <f t="shared" si="71"/>
        <v xml:space="preserve"> </v>
      </c>
      <c r="AF44" s="406" t="str">
        <f t="shared" si="71"/>
        <v xml:space="preserve"> </v>
      </c>
      <c r="AG44" s="406" t="str">
        <f t="shared" si="71"/>
        <v xml:space="preserve"> </v>
      </c>
      <c r="AH44" s="406" t="str">
        <f t="shared" si="67"/>
        <v xml:space="preserve"> </v>
      </c>
      <c r="AI44" s="406" t="str">
        <f t="shared" si="67"/>
        <v xml:space="preserve"> </v>
      </c>
      <c r="AJ44" s="406" t="str">
        <f t="shared" si="67"/>
        <v xml:space="preserve"> </v>
      </c>
      <c r="AK44" s="406" t="str">
        <f t="shared" si="67"/>
        <v xml:space="preserve"> </v>
      </c>
      <c r="AL44" s="406" t="str">
        <f t="shared" si="67"/>
        <v xml:space="preserve"> </v>
      </c>
      <c r="AM44" s="406" t="str">
        <f t="shared" si="67"/>
        <v xml:space="preserve"> </v>
      </c>
      <c r="AN44" s="406" t="str">
        <f t="shared" si="67"/>
        <v xml:space="preserve"> </v>
      </c>
      <c r="AO44" s="406" t="str">
        <f t="shared" si="67"/>
        <v xml:space="preserve"> </v>
      </c>
      <c r="AP44" s="406" t="str">
        <f t="shared" si="67"/>
        <v xml:space="preserve"> </v>
      </c>
      <c r="AQ44" s="406" t="str">
        <f t="shared" si="67"/>
        <v xml:space="preserve"> </v>
      </c>
      <c r="AR44" s="406" t="str">
        <f t="shared" si="67"/>
        <v xml:space="preserve"> </v>
      </c>
      <c r="AS44" s="406" t="str">
        <f t="shared" si="67"/>
        <v xml:space="preserve"> </v>
      </c>
      <c r="AT44" s="406" t="str">
        <f t="shared" si="67"/>
        <v xml:space="preserve"> </v>
      </c>
      <c r="AU44" s="406" t="str">
        <f t="shared" si="67"/>
        <v xml:space="preserve"> </v>
      </c>
      <c r="AV44" s="406" t="str">
        <f t="shared" si="67"/>
        <v xml:space="preserve"> </v>
      </c>
      <c r="AW44" s="406" t="str">
        <f t="shared" si="67"/>
        <v xml:space="preserve"> </v>
      </c>
      <c r="AX44" s="406" t="str">
        <f t="shared" si="72"/>
        <v xml:space="preserve"> </v>
      </c>
      <c r="AY44" s="406" t="str">
        <f t="shared" si="72"/>
        <v xml:space="preserve"> </v>
      </c>
      <c r="AZ44" s="406" t="str">
        <f t="shared" si="72"/>
        <v xml:space="preserve"> </v>
      </c>
      <c r="BA44" s="406" t="str">
        <f t="shared" si="72"/>
        <v xml:space="preserve"> </v>
      </c>
      <c r="BB44" s="406" t="str">
        <f t="shared" si="72"/>
        <v xml:space="preserve"> </v>
      </c>
      <c r="BC44" s="406" t="str">
        <f t="shared" si="72"/>
        <v xml:space="preserve"> </v>
      </c>
      <c r="BD44" s="406" t="str">
        <f t="shared" si="72"/>
        <v xml:space="preserve"> </v>
      </c>
      <c r="BE44" s="406" t="str">
        <f t="shared" si="72"/>
        <v xml:space="preserve"> </v>
      </c>
      <c r="BF44" s="406" t="str">
        <f t="shared" si="72"/>
        <v xml:space="preserve"> </v>
      </c>
      <c r="BG44" s="406" t="str">
        <f t="shared" si="72"/>
        <v xml:space="preserve"> </v>
      </c>
      <c r="BH44" s="406" t="str">
        <f t="shared" si="72"/>
        <v xml:space="preserve"> </v>
      </c>
      <c r="BI44" s="406" t="str">
        <f t="shared" si="72"/>
        <v xml:space="preserve"> </v>
      </c>
      <c r="BJ44" s="406" t="str">
        <f t="shared" si="72"/>
        <v xml:space="preserve"> </v>
      </c>
      <c r="BK44" s="406" t="str">
        <f t="shared" si="72"/>
        <v xml:space="preserve"> </v>
      </c>
      <c r="BL44" s="406" t="str">
        <f t="shared" si="72"/>
        <v xml:space="preserve"> </v>
      </c>
      <c r="BM44" s="406" t="str">
        <f t="shared" si="72"/>
        <v xml:space="preserve"> </v>
      </c>
      <c r="BN44" s="406" t="str">
        <f t="shared" si="73"/>
        <v xml:space="preserve"> </v>
      </c>
      <c r="BO44" s="406" t="str">
        <f t="shared" si="73"/>
        <v xml:space="preserve"> </v>
      </c>
      <c r="BP44" s="406" t="str">
        <f t="shared" si="73"/>
        <v xml:space="preserve"> </v>
      </c>
      <c r="BQ44" s="406" t="str">
        <f t="shared" si="73"/>
        <v xml:space="preserve"> </v>
      </c>
      <c r="BR44" s="406" t="str">
        <f t="shared" si="73"/>
        <v xml:space="preserve"> </v>
      </c>
      <c r="BS44" s="406" t="str">
        <f t="shared" si="73"/>
        <v xml:space="preserve"> </v>
      </c>
      <c r="BT44" s="406" t="str">
        <f t="shared" si="73"/>
        <v xml:space="preserve"> </v>
      </c>
      <c r="BU44" s="406" t="str">
        <f t="shared" si="73"/>
        <v xml:space="preserve"> </v>
      </c>
      <c r="BV44" s="406" t="str">
        <f t="shared" si="73"/>
        <v xml:space="preserve"> </v>
      </c>
      <c r="BW44" s="406" t="str">
        <f t="shared" si="73"/>
        <v xml:space="preserve"> </v>
      </c>
      <c r="BX44" s="406" t="str">
        <f t="shared" si="73"/>
        <v xml:space="preserve"> </v>
      </c>
      <c r="BY44" s="406" t="str">
        <f t="shared" si="73"/>
        <v xml:space="preserve"> </v>
      </c>
      <c r="BZ44" s="406" t="str">
        <f t="shared" si="73"/>
        <v xml:space="preserve"> </v>
      </c>
      <c r="CA44" s="406" t="str">
        <f t="shared" si="73"/>
        <v xml:space="preserve"> </v>
      </c>
      <c r="CB44" s="407" t="str">
        <f t="shared" si="73"/>
        <v xml:space="preserve"> </v>
      </c>
      <c r="CC44" s="407" t="str">
        <f t="shared" si="73"/>
        <v xml:space="preserve"> </v>
      </c>
      <c r="CD44" s="407" t="str">
        <f t="shared" si="74"/>
        <v xml:space="preserve"> </v>
      </c>
      <c r="CE44" s="407" t="str">
        <f t="shared" si="74"/>
        <v xml:space="preserve"> </v>
      </c>
      <c r="CF44" s="407" t="str">
        <f t="shared" si="74"/>
        <v xml:space="preserve"> </v>
      </c>
      <c r="CG44" s="407" t="str">
        <f t="shared" si="74"/>
        <v xml:space="preserve"> </v>
      </c>
      <c r="CH44" s="407" t="str">
        <f t="shared" si="74"/>
        <v xml:space="preserve"> </v>
      </c>
      <c r="CI44" s="407" t="str">
        <f t="shared" si="74"/>
        <v xml:space="preserve"> </v>
      </c>
      <c r="CJ44" s="407" t="str">
        <f t="shared" si="74"/>
        <v xml:space="preserve"> </v>
      </c>
      <c r="CK44" s="407" t="str">
        <f t="shared" si="74"/>
        <v xml:space="preserve"> </v>
      </c>
      <c r="CL44" s="407" t="str">
        <f t="shared" si="74"/>
        <v xml:space="preserve"> </v>
      </c>
      <c r="CM44" s="407" t="str">
        <f t="shared" si="74"/>
        <v xml:space="preserve"> </v>
      </c>
      <c r="CN44" s="407" t="str">
        <f t="shared" si="74"/>
        <v xml:space="preserve"> </v>
      </c>
      <c r="CO44" s="407" t="str">
        <f t="shared" si="74"/>
        <v xml:space="preserve"> </v>
      </c>
      <c r="CP44" s="407" t="str">
        <f t="shared" si="74"/>
        <v xml:space="preserve"> </v>
      </c>
      <c r="CQ44" s="407" t="str">
        <f t="shared" si="74"/>
        <v xml:space="preserve"> </v>
      </c>
      <c r="CR44" s="407" t="str">
        <f t="shared" si="74"/>
        <v xml:space="preserve"> </v>
      </c>
      <c r="CS44" s="407" t="str">
        <f t="shared" si="74"/>
        <v xml:space="preserve"> </v>
      </c>
      <c r="CT44" s="407" t="str">
        <f t="shared" si="75"/>
        <v xml:space="preserve"> </v>
      </c>
      <c r="CU44" s="407" t="str">
        <f t="shared" si="75"/>
        <v xml:space="preserve"> </v>
      </c>
      <c r="CV44" s="407" t="str">
        <f t="shared" si="75"/>
        <v xml:space="preserve"> </v>
      </c>
      <c r="CW44" s="407" t="str">
        <f t="shared" si="75"/>
        <v xml:space="preserve"> </v>
      </c>
      <c r="CX44" s="407" t="str">
        <f t="shared" si="75"/>
        <v xml:space="preserve"> </v>
      </c>
      <c r="CY44" s="407" t="str">
        <f t="shared" si="75"/>
        <v xml:space="preserve"> </v>
      </c>
      <c r="CZ44" s="407" t="str">
        <f t="shared" si="75"/>
        <v xml:space="preserve"> </v>
      </c>
      <c r="DA44" s="407" t="str">
        <f t="shared" si="75"/>
        <v xml:space="preserve"> </v>
      </c>
      <c r="DB44" s="407" t="str">
        <f t="shared" si="75"/>
        <v xml:space="preserve"> </v>
      </c>
      <c r="DC44" s="407" t="str">
        <f t="shared" si="75"/>
        <v xml:space="preserve"> </v>
      </c>
      <c r="DD44" s="407" t="str">
        <f t="shared" si="69"/>
        <v xml:space="preserve"> </v>
      </c>
      <c r="DE44" s="407" t="str">
        <f t="shared" si="69"/>
        <v xml:space="preserve"> </v>
      </c>
      <c r="DF44" s="407" t="str">
        <f t="shared" si="69"/>
        <v xml:space="preserve"> </v>
      </c>
      <c r="DG44" s="407" t="str">
        <f t="shared" si="69"/>
        <v xml:space="preserve"> </v>
      </c>
      <c r="DH44" s="407" t="str">
        <f t="shared" si="69"/>
        <v xml:space="preserve"> </v>
      </c>
      <c r="DI44" s="407" t="str">
        <f t="shared" si="69"/>
        <v xml:space="preserve"> </v>
      </c>
      <c r="DJ44" s="407" t="str">
        <f t="shared" si="69"/>
        <v xml:space="preserve"> </v>
      </c>
      <c r="DK44" s="407" t="str">
        <f t="shared" si="69"/>
        <v xml:space="preserve"> </v>
      </c>
      <c r="DL44" s="407" t="str">
        <f t="shared" si="69"/>
        <v xml:space="preserve"> </v>
      </c>
      <c r="DM44" s="407" t="str">
        <f t="shared" si="69"/>
        <v xml:space="preserve"> </v>
      </c>
      <c r="DN44" s="407" t="str">
        <f t="shared" si="69"/>
        <v xml:space="preserve"> </v>
      </c>
      <c r="DO44" s="407" t="str">
        <f t="shared" si="69"/>
        <v xml:space="preserve"> </v>
      </c>
      <c r="DP44" s="407" t="str">
        <f t="shared" si="70"/>
        <v xml:space="preserve"> </v>
      </c>
      <c r="DQ44" s="407" t="str">
        <f t="shared" si="70"/>
        <v xml:space="preserve"> </v>
      </c>
      <c r="DR44" s="407" t="str">
        <f t="shared" si="70"/>
        <v xml:space="preserve"> </v>
      </c>
      <c r="DS44" s="407" t="str">
        <f t="shared" si="70"/>
        <v xml:space="preserve"> </v>
      </c>
      <c r="DT44" s="407" t="str">
        <f t="shared" si="70"/>
        <v xml:space="preserve"> </v>
      </c>
      <c r="DU44" s="407" t="str">
        <f t="shared" si="70"/>
        <v xml:space="preserve"> </v>
      </c>
      <c r="DV44" s="407" t="str">
        <f t="shared" si="70"/>
        <v xml:space="preserve"> </v>
      </c>
      <c r="DW44" s="407" t="str">
        <f t="shared" si="70"/>
        <v xml:space="preserve"> </v>
      </c>
      <c r="DX44" s="407" t="str">
        <f t="shared" si="70"/>
        <v xml:space="preserve"> </v>
      </c>
      <c r="DY44" s="407" t="str">
        <f t="shared" si="70"/>
        <v xml:space="preserve"> </v>
      </c>
      <c r="DZ44" s="407" t="str">
        <f t="shared" si="70"/>
        <v xml:space="preserve"> </v>
      </c>
      <c r="EA44" s="407" t="str">
        <f t="shared" si="70"/>
        <v xml:space="preserve"> </v>
      </c>
      <c r="EB44" s="407" t="str">
        <f t="shared" si="70"/>
        <v xml:space="preserve"> </v>
      </c>
      <c r="EC44" s="407" t="str">
        <f t="shared" si="70"/>
        <v xml:space="preserve"> </v>
      </c>
      <c r="ED44" s="407" t="str">
        <f t="shared" si="70"/>
        <v xml:space="preserve"> </v>
      </c>
      <c r="EE44" s="407" t="str">
        <f t="shared" si="70"/>
        <v xml:space="preserve"> </v>
      </c>
    </row>
    <row r="45" spans="1:135" s="408" customFormat="1" x14ac:dyDescent="0.25">
      <c r="A45" s="390">
        <v>1</v>
      </c>
      <c r="B45" s="391" t="str">
        <f t="shared" si="25"/>
        <v>4</v>
      </c>
      <c r="C45" s="392" t="s">
        <v>59</v>
      </c>
      <c r="D45" s="393"/>
      <c r="E45" s="394"/>
      <c r="F45" s="409"/>
      <c r="G45" s="410"/>
      <c r="H45" s="410"/>
      <c r="I45" s="410"/>
      <c r="J45" s="534">
        <f>MIN(Q46:Q49)</f>
        <v>45778</v>
      </c>
      <c r="K45" s="412"/>
      <c r="L45" s="413"/>
      <c r="M45" s="534">
        <f>MAX(R46:R49)</f>
        <v>47635</v>
      </c>
      <c r="N45" s="414">
        <v>1</v>
      </c>
      <c r="O45" s="415">
        <v>0</v>
      </c>
      <c r="P45" s="401"/>
      <c r="Q45" s="402">
        <f t="shared" si="60"/>
        <v>45778</v>
      </c>
      <c r="R45" s="402">
        <f t="shared" si="27"/>
        <v>47635</v>
      </c>
      <c r="S45" s="403">
        <f t="shared" si="28"/>
        <v>1253</v>
      </c>
      <c r="T45" s="403">
        <f t="shared" si="36"/>
        <v>1858</v>
      </c>
      <c r="U45" s="404"/>
      <c r="V45" s="404"/>
      <c r="W45" s="405"/>
      <c r="X45" s="406" t="str">
        <f t="shared" si="71"/>
        <v xml:space="preserve"> </v>
      </c>
      <c r="Y45" s="406" t="str">
        <f t="shared" si="71"/>
        <v xml:space="preserve"> </v>
      </c>
      <c r="Z45" s="406" t="str">
        <f t="shared" si="71"/>
        <v xml:space="preserve"> </v>
      </c>
      <c r="AA45" s="406" t="str">
        <f t="shared" si="71"/>
        <v xml:space="preserve"> </v>
      </c>
      <c r="AB45" s="406" t="str">
        <f t="shared" si="71"/>
        <v xml:space="preserve"> </v>
      </c>
      <c r="AC45" s="406" t="str">
        <f t="shared" si="71"/>
        <v xml:space="preserve"> </v>
      </c>
      <c r="AD45" s="406" t="str">
        <f t="shared" si="71"/>
        <v xml:space="preserve"> </v>
      </c>
      <c r="AE45" s="406" t="str">
        <f t="shared" si="71"/>
        <v xml:space="preserve"> </v>
      </c>
      <c r="AF45" s="406" t="str">
        <f t="shared" si="71"/>
        <v xml:space="preserve"> </v>
      </c>
      <c r="AG45" s="406" t="str">
        <f t="shared" si="71"/>
        <v xml:space="preserve"> </v>
      </c>
      <c r="AH45" s="406" t="str">
        <f t="shared" si="67"/>
        <v xml:space="preserve"> </v>
      </c>
      <c r="AI45" s="406" t="str">
        <f t="shared" si="67"/>
        <v xml:space="preserve"> </v>
      </c>
      <c r="AJ45" s="406" t="str">
        <f t="shared" si="67"/>
        <v xml:space="preserve"> </v>
      </c>
      <c r="AK45" s="406" t="str">
        <f t="shared" si="67"/>
        <v xml:space="preserve"> </v>
      </c>
      <c r="AL45" s="406" t="str">
        <f t="shared" si="67"/>
        <v xml:space="preserve"> </v>
      </c>
      <c r="AM45" s="406" t="str">
        <f t="shared" si="67"/>
        <v xml:space="preserve"> </v>
      </c>
      <c r="AN45" s="406" t="str">
        <f t="shared" si="67"/>
        <v xml:space="preserve"> </v>
      </c>
      <c r="AO45" s="406" t="str">
        <f t="shared" si="67"/>
        <v xml:space="preserve"> </v>
      </c>
      <c r="AP45" s="406" t="str">
        <f t="shared" si="67"/>
        <v xml:space="preserve"> </v>
      </c>
      <c r="AQ45" s="406" t="str">
        <f t="shared" si="67"/>
        <v xml:space="preserve"> </v>
      </c>
      <c r="AR45" s="406" t="str">
        <f t="shared" si="67"/>
        <v xml:space="preserve"> </v>
      </c>
      <c r="AS45" s="406" t="str">
        <f t="shared" si="67"/>
        <v xml:space="preserve"> </v>
      </c>
      <c r="AT45" s="406" t="str">
        <f t="shared" si="67"/>
        <v xml:space="preserve"> </v>
      </c>
      <c r="AU45" s="406" t="str">
        <f t="shared" si="67"/>
        <v xml:space="preserve"> </v>
      </c>
      <c r="AV45" s="406" t="str">
        <f t="shared" si="67"/>
        <v xml:space="preserve"> </v>
      </c>
      <c r="AW45" s="406" t="str">
        <f t="shared" si="67"/>
        <v xml:space="preserve"> </v>
      </c>
      <c r="AX45" s="406" t="str">
        <f t="shared" si="72"/>
        <v xml:space="preserve"> </v>
      </c>
      <c r="AY45" s="406" t="str">
        <f t="shared" si="72"/>
        <v xml:space="preserve"> </v>
      </c>
      <c r="AZ45" s="406" t="str">
        <f t="shared" si="72"/>
        <v xml:space="preserve"> </v>
      </c>
      <c r="BA45" s="406" t="str">
        <f t="shared" si="72"/>
        <v xml:space="preserve"> </v>
      </c>
      <c r="BB45" s="406" t="str">
        <f t="shared" si="72"/>
        <v xml:space="preserve"> </v>
      </c>
      <c r="BC45" s="406" t="str">
        <f t="shared" si="72"/>
        <v xml:space="preserve"> </v>
      </c>
      <c r="BD45" s="406" t="str">
        <f t="shared" si="72"/>
        <v xml:space="preserve"> </v>
      </c>
      <c r="BE45" s="406" t="str">
        <f t="shared" si="72"/>
        <v xml:space="preserve"> </v>
      </c>
      <c r="BF45" s="406" t="str">
        <f t="shared" si="72"/>
        <v xml:space="preserve"> </v>
      </c>
      <c r="BG45" s="406" t="str">
        <f t="shared" si="72"/>
        <v xml:space="preserve"> </v>
      </c>
      <c r="BH45" s="406" t="str">
        <f t="shared" si="72"/>
        <v xml:space="preserve"> </v>
      </c>
      <c r="BI45" s="406" t="str">
        <f t="shared" si="72"/>
        <v xml:space="preserve"> </v>
      </c>
      <c r="BJ45" s="406" t="str">
        <f t="shared" si="72"/>
        <v xml:space="preserve"> </v>
      </c>
      <c r="BK45" s="406" t="str">
        <f t="shared" si="72"/>
        <v xml:space="preserve"> </v>
      </c>
      <c r="BL45" s="406" t="str">
        <f t="shared" si="72"/>
        <v xml:space="preserve"> </v>
      </c>
      <c r="BM45" s="406" t="str">
        <f t="shared" si="72"/>
        <v xml:space="preserve"> </v>
      </c>
      <c r="BN45" s="406" t="str">
        <f t="shared" si="73"/>
        <v xml:space="preserve"> </v>
      </c>
      <c r="BO45" s="406" t="str">
        <f t="shared" si="73"/>
        <v xml:space="preserve"> </v>
      </c>
      <c r="BP45" s="406" t="str">
        <f t="shared" si="73"/>
        <v xml:space="preserve"> </v>
      </c>
      <c r="BQ45" s="406" t="str">
        <f t="shared" si="73"/>
        <v xml:space="preserve"> </v>
      </c>
      <c r="BR45" s="406" t="str">
        <f t="shared" si="73"/>
        <v xml:space="preserve"> </v>
      </c>
      <c r="BS45" s="406" t="str">
        <f t="shared" si="73"/>
        <v xml:space="preserve"> </v>
      </c>
      <c r="BT45" s="406" t="str">
        <f t="shared" si="73"/>
        <v xml:space="preserve"> </v>
      </c>
      <c r="BU45" s="406" t="str">
        <f t="shared" si="73"/>
        <v xml:space="preserve"> </v>
      </c>
      <c r="BV45" s="406" t="str">
        <f t="shared" si="73"/>
        <v xml:space="preserve"> </v>
      </c>
      <c r="BW45" s="406" t="str">
        <f t="shared" si="73"/>
        <v xml:space="preserve"> </v>
      </c>
      <c r="BX45" s="406" t="str">
        <f t="shared" si="73"/>
        <v xml:space="preserve"> </v>
      </c>
      <c r="BY45" s="406" t="str">
        <f t="shared" si="73"/>
        <v xml:space="preserve"> </v>
      </c>
      <c r="BZ45" s="406" t="str">
        <f t="shared" si="73"/>
        <v xml:space="preserve"> </v>
      </c>
      <c r="CA45" s="406" t="str">
        <f t="shared" si="73"/>
        <v xml:space="preserve"> </v>
      </c>
      <c r="CB45" s="407" t="str">
        <f t="shared" si="73"/>
        <v xml:space="preserve"> </v>
      </c>
      <c r="CC45" s="407" t="str">
        <f t="shared" si="73"/>
        <v xml:space="preserve"> </v>
      </c>
      <c r="CD45" s="407" t="str">
        <f t="shared" si="74"/>
        <v xml:space="preserve"> </v>
      </c>
      <c r="CE45" s="407" t="str">
        <f t="shared" si="74"/>
        <v xml:space="preserve"> </v>
      </c>
      <c r="CF45" s="407" t="str">
        <f t="shared" si="74"/>
        <v xml:space="preserve"> </v>
      </c>
      <c r="CG45" s="407" t="str">
        <f t="shared" si="74"/>
        <v xml:space="preserve"> </v>
      </c>
      <c r="CH45" s="407" t="str">
        <f t="shared" si="74"/>
        <v xml:space="preserve"> </v>
      </c>
      <c r="CI45" s="407" t="str">
        <f t="shared" si="74"/>
        <v xml:space="preserve"> </v>
      </c>
      <c r="CJ45" s="407" t="str">
        <f t="shared" si="74"/>
        <v xml:space="preserve"> </v>
      </c>
      <c r="CK45" s="407" t="str">
        <f t="shared" si="74"/>
        <v xml:space="preserve"> </v>
      </c>
      <c r="CL45" s="407" t="str">
        <f t="shared" si="74"/>
        <v xml:space="preserve"> </v>
      </c>
      <c r="CM45" s="407" t="str">
        <f t="shared" si="74"/>
        <v xml:space="preserve"> </v>
      </c>
      <c r="CN45" s="407" t="str">
        <f t="shared" si="74"/>
        <v xml:space="preserve"> </v>
      </c>
      <c r="CO45" s="407" t="str">
        <f t="shared" si="74"/>
        <v xml:space="preserve"> </v>
      </c>
      <c r="CP45" s="407" t="str">
        <f t="shared" si="74"/>
        <v xml:space="preserve"> </v>
      </c>
      <c r="CQ45" s="407" t="str">
        <f t="shared" si="74"/>
        <v xml:space="preserve"> </v>
      </c>
      <c r="CR45" s="407" t="str">
        <f t="shared" si="74"/>
        <v xml:space="preserve"> </v>
      </c>
      <c r="CS45" s="407" t="str">
        <f t="shared" si="74"/>
        <v xml:space="preserve"> </v>
      </c>
      <c r="CT45" s="407" t="str">
        <f t="shared" si="75"/>
        <v xml:space="preserve"> </v>
      </c>
      <c r="CU45" s="407" t="str">
        <f t="shared" si="75"/>
        <v xml:space="preserve"> </v>
      </c>
      <c r="CV45" s="407" t="str">
        <f t="shared" si="75"/>
        <v xml:space="preserve"> </v>
      </c>
      <c r="CW45" s="407" t="str">
        <f t="shared" si="75"/>
        <v xml:space="preserve"> </v>
      </c>
      <c r="CX45" s="407" t="str">
        <f t="shared" si="75"/>
        <v xml:space="preserve"> </v>
      </c>
      <c r="CY45" s="407" t="str">
        <f t="shared" si="75"/>
        <v xml:space="preserve"> </v>
      </c>
      <c r="CZ45" s="407" t="str">
        <f t="shared" si="75"/>
        <v xml:space="preserve"> </v>
      </c>
      <c r="DA45" s="407" t="str">
        <f t="shared" si="75"/>
        <v xml:space="preserve"> </v>
      </c>
      <c r="DB45" s="407" t="str">
        <f t="shared" si="75"/>
        <v xml:space="preserve"> </v>
      </c>
      <c r="DC45" s="407" t="str">
        <f t="shared" si="75"/>
        <v xml:space="preserve"> </v>
      </c>
      <c r="DD45" s="407" t="str">
        <f t="shared" si="69"/>
        <v xml:space="preserve"> </v>
      </c>
      <c r="DE45" s="407" t="str">
        <f t="shared" si="69"/>
        <v xml:space="preserve"> </v>
      </c>
      <c r="DF45" s="407" t="str">
        <f t="shared" si="69"/>
        <v xml:space="preserve"> </v>
      </c>
      <c r="DG45" s="407" t="str">
        <f t="shared" si="69"/>
        <v xml:space="preserve"> </v>
      </c>
      <c r="DH45" s="407" t="str">
        <f t="shared" si="69"/>
        <v xml:space="preserve"> </v>
      </c>
      <c r="DI45" s="407" t="str">
        <f t="shared" si="69"/>
        <v xml:space="preserve"> </v>
      </c>
      <c r="DJ45" s="407" t="str">
        <f t="shared" si="69"/>
        <v xml:space="preserve"> </v>
      </c>
      <c r="DK45" s="407" t="str">
        <f t="shared" si="69"/>
        <v xml:space="preserve"> </v>
      </c>
      <c r="DL45" s="407" t="str">
        <f t="shared" si="69"/>
        <v xml:space="preserve"> </v>
      </c>
      <c r="DM45" s="407" t="str">
        <f t="shared" si="69"/>
        <v xml:space="preserve"> </v>
      </c>
      <c r="DN45" s="407" t="str">
        <f t="shared" si="69"/>
        <v xml:space="preserve"> </v>
      </c>
      <c r="DO45" s="407" t="str">
        <f t="shared" si="69"/>
        <v xml:space="preserve"> </v>
      </c>
      <c r="DP45" s="407" t="str">
        <f t="shared" si="70"/>
        <v xml:space="preserve"> </v>
      </c>
      <c r="DQ45" s="407" t="str">
        <f t="shared" si="70"/>
        <v xml:space="preserve"> </v>
      </c>
      <c r="DR45" s="407" t="str">
        <f t="shared" si="70"/>
        <v xml:space="preserve"> </v>
      </c>
      <c r="DS45" s="407" t="str">
        <f t="shared" si="70"/>
        <v xml:space="preserve"> </v>
      </c>
      <c r="DT45" s="407" t="str">
        <f t="shared" si="70"/>
        <v xml:space="preserve"> </v>
      </c>
      <c r="DU45" s="407" t="str">
        <f t="shared" si="70"/>
        <v xml:space="preserve"> </v>
      </c>
      <c r="DV45" s="407" t="str">
        <f t="shared" si="70"/>
        <v xml:space="preserve"> </v>
      </c>
      <c r="DW45" s="407" t="str">
        <f t="shared" si="70"/>
        <v xml:space="preserve"> </v>
      </c>
      <c r="DX45" s="407" t="str">
        <f t="shared" si="70"/>
        <v xml:space="preserve"> </v>
      </c>
      <c r="DY45" s="407" t="str">
        <f t="shared" si="70"/>
        <v xml:space="preserve"> </v>
      </c>
      <c r="DZ45" s="407" t="str">
        <f t="shared" si="70"/>
        <v xml:space="preserve"> </v>
      </c>
      <c r="EA45" s="407" t="str">
        <f t="shared" si="70"/>
        <v xml:space="preserve"> </v>
      </c>
      <c r="EB45" s="407" t="str">
        <f t="shared" si="70"/>
        <v xml:space="preserve"> </v>
      </c>
      <c r="EC45" s="407" t="str">
        <f t="shared" si="70"/>
        <v xml:space="preserve"> </v>
      </c>
      <c r="ED45" s="407" t="str">
        <f t="shared" si="70"/>
        <v xml:space="preserve"> </v>
      </c>
      <c r="EE45" s="407" t="str">
        <f t="shared" si="70"/>
        <v xml:space="preserve"> </v>
      </c>
    </row>
    <row r="46" spans="1:135" s="408" customFormat="1" x14ac:dyDescent="0.25">
      <c r="A46" s="390">
        <v>2</v>
      </c>
      <c r="B46" s="391" t="str">
        <f t="shared" si="25"/>
        <v>4.1</v>
      </c>
      <c r="C46" s="390" t="s">
        <v>924</v>
      </c>
      <c r="D46" s="393"/>
      <c r="E46" s="394"/>
      <c r="F46" s="409"/>
      <c r="G46" s="410"/>
      <c r="H46" s="410"/>
      <c r="I46" s="410"/>
      <c r="J46" s="411">
        <v>45778</v>
      </c>
      <c r="K46" s="412"/>
      <c r="L46" s="413"/>
      <c r="M46" s="411">
        <v>45807</v>
      </c>
      <c r="N46" s="414">
        <v>2</v>
      </c>
      <c r="O46" s="415">
        <v>0</v>
      </c>
      <c r="P46" s="401" t="s">
        <v>866</v>
      </c>
      <c r="Q46" s="402">
        <f t="shared" si="60"/>
        <v>45778</v>
      </c>
      <c r="R46" s="402">
        <f t="shared" si="27"/>
        <v>45807</v>
      </c>
      <c r="S46" s="403">
        <f t="shared" si="28"/>
        <v>20</v>
      </c>
      <c r="T46" s="403">
        <f t="shared" si="36"/>
        <v>30</v>
      </c>
      <c r="U46" s="404"/>
      <c r="V46" s="404"/>
      <c r="W46" s="405"/>
      <c r="X46" s="406" t="str">
        <f t="shared" si="71"/>
        <v xml:space="preserve"> </v>
      </c>
      <c r="Y46" s="406" t="str">
        <f t="shared" si="71"/>
        <v xml:space="preserve"> </v>
      </c>
      <c r="Z46" s="406" t="str">
        <f t="shared" si="71"/>
        <v xml:space="preserve"> </v>
      </c>
      <c r="AA46" s="406" t="str">
        <f t="shared" si="71"/>
        <v xml:space="preserve"> </v>
      </c>
      <c r="AB46" s="406" t="str">
        <f t="shared" si="71"/>
        <v xml:space="preserve"> </v>
      </c>
      <c r="AC46" s="406" t="str">
        <f t="shared" si="71"/>
        <v xml:space="preserve"> </v>
      </c>
      <c r="AD46" s="406" t="str">
        <f t="shared" si="71"/>
        <v xml:space="preserve"> </v>
      </c>
      <c r="AE46" s="406" t="str">
        <f t="shared" si="71"/>
        <v xml:space="preserve"> </v>
      </c>
      <c r="AF46" s="406" t="str">
        <f t="shared" si="71"/>
        <v xml:space="preserve"> </v>
      </c>
      <c r="AG46" s="406" t="str">
        <f t="shared" si="71"/>
        <v xml:space="preserve"> </v>
      </c>
      <c r="AH46" s="406" t="str">
        <f t="shared" si="67"/>
        <v xml:space="preserve"> </v>
      </c>
      <c r="AI46" s="406" t="str">
        <f t="shared" si="67"/>
        <v xml:space="preserve"> </v>
      </c>
      <c r="AJ46" s="406" t="str">
        <f t="shared" si="67"/>
        <v xml:space="preserve"> </v>
      </c>
      <c r="AK46" s="406" t="str">
        <f t="shared" si="67"/>
        <v xml:space="preserve"> </v>
      </c>
      <c r="AL46" s="406" t="str">
        <f t="shared" si="67"/>
        <v xml:space="preserve"> </v>
      </c>
      <c r="AM46" s="406" t="str">
        <f t="shared" si="67"/>
        <v xml:space="preserve"> </v>
      </c>
      <c r="AN46" s="406" t="str">
        <f t="shared" si="67"/>
        <v xml:space="preserve"> </v>
      </c>
      <c r="AO46" s="406" t="str">
        <f t="shared" si="67"/>
        <v xml:space="preserve"> </v>
      </c>
      <c r="AP46" s="406" t="str">
        <f t="shared" si="67"/>
        <v xml:space="preserve"> </v>
      </c>
      <c r="AQ46" s="406" t="str">
        <f t="shared" si="67"/>
        <v xml:space="preserve"> </v>
      </c>
      <c r="AR46" s="406" t="str">
        <f t="shared" si="67"/>
        <v xml:space="preserve"> </v>
      </c>
      <c r="AS46" s="406" t="str">
        <f t="shared" si="67"/>
        <v xml:space="preserve"> </v>
      </c>
      <c r="AT46" s="406" t="str">
        <f t="shared" si="67"/>
        <v xml:space="preserve"> </v>
      </c>
      <c r="AU46" s="406" t="str">
        <f t="shared" si="67"/>
        <v xml:space="preserve"> </v>
      </c>
      <c r="AV46" s="406" t="str">
        <f t="shared" si="67"/>
        <v xml:space="preserve"> </v>
      </c>
      <c r="AW46" s="406" t="str">
        <f t="shared" si="67"/>
        <v xml:space="preserve"> </v>
      </c>
      <c r="AX46" s="406" t="str">
        <f t="shared" si="72"/>
        <v xml:space="preserve"> </v>
      </c>
      <c r="AY46" s="406" t="str">
        <f t="shared" si="72"/>
        <v xml:space="preserve"> </v>
      </c>
      <c r="AZ46" s="406" t="str">
        <f t="shared" si="72"/>
        <v xml:space="preserve"> </v>
      </c>
      <c r="BA46" s="406" t="str">
        <f t="shared" si="72"/>
        <v xml:space="preserve"> </v>
      </c>
      <c r="BB46" s="406" t="str">
        <f t="shared" si="72"/>
        <v xml:space="preserve"> </v>
      </c>
      <c r="BC46" s="406" t="str">
        <f t="shared" si="72"/>
        <v xml:space="preserve"> </v>
      </c>
      <c r="BD46" s="406" t="str">
        <f t="shared" si="72"/>
        <v xml:space="preserve"> </v>
      </c>
      <c r="BE46" s="406" t="str">
        <f t="shared" si="72"/>
        <v xml:space="preserve"> </v>
      </c>
      <c r="BF46" s="406" t="str">
        <f t="shared" si="72"/>
        <v xml:space="preserve"> </v>
      </c>
      <c r="BG46" s="406" t="str">
        <f t="shared" si="72"/>
        <v xml:space="preserve"> </v>
      </c>
      <c r="BH46" s="406" t="str">
        <f t="shared" si="72"/>
        <v xml:space="preserve"> </v>
      </c>
      <c r="BI46" s="406" t="str">
        <f t="shared" si="72"/>
        <v xml:space="preserve"> </v>
      </c>
      <c r="BJ46" s="406" t="str">
        <f t="shared" si="72"/>
        <v xml:space="preserve"> </v>
      </c>
      <c r="BK46" s="406" t="str">
        <f t="shared" si="72"/>
        <v xml:space="preserve"> </v>
      </c>
      <c r="BL46" s="406" t="str">
        <f t="shared" si="72"/>
        <v xml:space="preserve"> </v>
      </c>
      <c r="BM46" s="406" t="str">
        <f t="shared" si="72"/>
        <v xml:space="preserve"> </v>
      </c>
      <c r="BN46" s="406" t="str">
        <f t="shared" si="73"/>
        <v xml:space="preserve"> </v>
      </c>
      <c r="BO46" s="406" t="str">
        <f t="shared" si="73"/>
        <v xml:space="preserve"> </v>
      </c>
      <c r="BP46" s="406" t="str">
        <f t="shared" si="73"/>
        <v xml:space="preserve"> </v>
      </c>
      <c r="BQ46" s="406" t="str">
        <f t="shared" si="73"/>
        <v xml:space="preserve"> </v>
      </c>
      <c r="BR46" s="406" t="str">
        <f t="shared" si="73"/>
        <v xml:space="preserve"> </v>
      </c>
      <c r="BS46" s="406" t="str">
        <f t="shared" si="73"/>
        <v xml:space="preserve"> </v>
      </c>
      <c r="BT46" s="406" t="str">
        <f t="shared" si="73"/>
        <v xml:space="preserve"> </v>
      </c>
      <c r="BU46" s="406" t="str">
        <f t="shared" si="73"/>
        <v xml:space="preserve"> </v>
      </c>
      <c r="BV46" s="406" t="str">
        <f t="shared" si="73"/>
        <v xml:space="preserve"> </v>
      </c>
      <c r="BW46" s="406" t="str">
        <f t="shared" si="73"/>
        <v xml:space="preserve"> </v>
      </c>
      <c r="BX46" s="406" t="str">
        <f t="shared" si="73"/>
        <v xml:space="preserve"> </v>
      </c>
      <c r="BY46" s="406" t="str">
        <f t="shared" si="73"/>
        <v xml:space="preserve"> </v>
      </c>
      <c r="BZ46" s="406" t="str">
        <f t="shared" si="73"/>
        <v xml:space="preserve"> </v>
      </c>
      <c r="CA46" s="406" t="str">
        <f t="shared" si="73"/>
        <v xml:space="preserve"> </v>
      </c>
      <c r="CB46" s="407" t="str">
        <f t="shared" si="73"/>
        <v xml:space="preserve"> </v>
      </c>
      <c r="CC46" s="407" t="str">
        <f t="shared" si="73"/>
        <v xml:space="preserve"> </v>
      </c>
      <c r="CD46" s="407" t="str">
        <f t="shared" si="74"/>
        <v xml:space="preserve"> </v>
      </c>
      <c r="CE46" s="407" t="str">
        <f t="shared" si="74"/>
        <v xml:space="preserve"> </v>
      </c>
      <c r="CF46" s="407" t="str">
        <f t="shared" si="74"/>
        <v xml:space="preserve"> </v>
      </c>
      <c r="CG46" s="407" t="str">
        <f t="shared" si="74"/>
        <v xml:space="preserve"> </v>
      </c>
      <c r="CH46" s="407" t="str">
        <f t="shared" si="74"/>
        <v xml:space="preserve"> </v>
      </c>
      <c r="CI46" s="407" t="str">
        <f t="shared" si="74"/>
        <v xml:space="preserve"> </v>
      </c>
      <c r="CJ46" s="407" t="str">
        <f t="shared" si="74"/>
        <v xml:space="preserve"> </v>
      </c>
      <c r="CK46" s="407" t="str">
        <f t="shared" si="74"/>
        <v xml:space="preserve"> </v>
      </c>
      <c r="CL46" s="407" t="str">
        <f t="shared" si="74"/>
        <v xml:space="preserve"> </v>
      </c>
      <c r="CM46" s="407" t="str">
        <f t="shared" si="74"/>
        <v xml:space="preserve"> </v>
      </c>
      <c r="CN46" s="407" t="str">
        <f t="shared" si="74"/>
        <v xml:space="preserve"> </v>
      </c>
      <c r="CO46" s="407" t="str">
        <f t="shared" si="74"/>
        <v xml:space="preserve"> </v>
      </c>
      <c r="CP46" s="407" t="str">
        <f t="shared" si="74"/>
        <v xml:space="preserve"> </v>
      </c>
      <c r="CQ46" s="407" t="str">
        <f t="shared" si="74"/>
        <v xml:space="preserve"> </v>
      </c>
      <c r="CR46" s="407" t="str">
        <f t="shared" si="74"/>
        <v xml:space="preserve"> </v>
      </c>
      <c r="CS46" s="407" t="str">
        <f t="shared" si="74"/>
        <v xml:space="preserve"> </v>
      </c>
      <c r="CT46" s="407" t="str">
        <f t="shared" si="75"/>
        <v xml:space="preserve"> </v>
      </c>
      <c r="CU46" s="407" t="str">
        <f t="shared" si="75"/>
        <v xml:space="preserve"> </v>
      </c>
      <c r="CV46" s="407" t="str">
        <f t="shared" si="75"/>
        <v xml:space="preserve"> </v>
      </c>
      <c r="CW46" s="407" t="str">
        <f t="shared" si="75"/>
        <v xml:space="preserve"> </v>
      </c>
      <c r="CX46" s="407" t="str">
        <f t="shared" si="75"/>
        <v xml:space="preserve"> </v>
      </c>
      <c r="CY46" s="407" t="str">
        <f t="shared" si="75"/>
        <v xml:space="preserve"> </v>
      </c>
      <c r="CZ46" s="407" t="str">
        <f t="shared" si="75"/>
        <v xml:space="preserve"> </v>
      </c>
      <c r="DA46" s="407" t="str">
        <f t="shared" si="75"/>
        <v xml:space="preserve"> </v>
      </c>
      <c r="DB46" s="407" t="str">
        <f t="shared" si="75"/>
        <v xml:space="preserve"> </v>
      </c>
      <c r="DC46" s="407" t="str">
        <f t="shared" si="75"/>
        <v xml:space="preserve"> </v>
      </c>
      <c r="DD46" s="407" t="str">
        <f t="shared" si="69"/>
        <v xml:space="preserve"> </v>
      </c>
      <c r="DE46" s="407" t="str">
        <f t="shared" si="69"/>
        <v xml:space="preserve"> </v>
      </c>
      <c r="DF46" s="407" t="str">
        <f t="shared" si="69"/>
        <v xml:space="preserve"> </v>
      </c>
      <c r="DG46" s="407" t="str">
        <f t="shared" si="69"/>
        <v xml:space="preserve"> </v>
      </c>
      <c r="DH46" s="407" t="str">
        <f t="shared" si="69"/>
        <v xml:space="preserve"> </v>
      </c>
      <c r="DI46" s="407" t="str">
        <f t="shared" si="69"/>
        <v xml:space="preserve"> </v>
      </c>
      <c r="DJ46" s="407" t="str">
        <f t="shared" si="69"/>
        <v xml:space="preserve"> </v>
      </c>
      <c r="DK46" s="407" t="str">
        <f t="shared" si="69"/>
        <v xml:space="preserve"> </v>
      </c>
      <c r="DL46" s="407" t="str">
        <f t="shared" si="69"/>
        <v xml:space="preserve"> </v>
      </c>
      <c r="DM46" s="407" t="str">
        <f t="shared" si="69"/>
        <v xml:space="preserve"> </v>
      </c>
      <c r="DN46" s="407" t="str">
        <f t="shared" si="69"/>
        <v xml:space="preserve"> </v>
      </c>
      <c r="DO46" s="407" t="str">
        <f t="shared" si="69"/>
        <v xml:space="preserve"> </v>
      </c>
      <c r="DP46" s="407" t="str">
        <f t="shared" si="70"/>
        <v xml:space="preserve"> </v>
      </c>
      <c r="DQ46" s="407" t="str">
        <f t="shared" si="70"/>
        <v xml:space="preserve"> </v>
      </c>
      <c r="DR46" s="407" t="str">
        <f t="shared" si="70"/>
        <v xml:space="preserve"> </v>
      </c>
      <c r="DS46" s="407" t="str">
        <f t="shared" si="70"/>
        <v xml:space="preserve"> </v>
      </c>
      <c r="DT46" s="407" t="str">
        <f t="shared" si="70"/>
        <v xml:space="preserve"> </v>
      </c>
      <c r="DU46" s="407" t="str">
        <f t="shared" si="70"/>
        <v xml:space="preserve"> </v>
      </c>
      <c r="DV46" s="407" t="str">
        <f t="shared" si="70"/>
        <v xml:space="preserve"> </v>
      </c>
      <c r="DW46" s="407" t="str">
        <f t="shared" si="70"/>
        <v xml:space="preserve"> </v>
      </c>
      <c r="DX46" s="407" t="str">
        <f t="shared" si="70"/>
        <v xml:space="preserve"> </v>
      </c>
      <c r="DY46" s="407" t="str">
        <f t="shared" si="70"/>
        <v xml:space="preserve"> </v>
      </c>
      <c r="DZ46" s="407" t="str">
        <f t="shared" si="70"/>
        <v xml:space="preserve"> </v>
      </c>
      <c r="EA46" s="407" t="str">
        <f t="shared" si="70"/>
        <v xml:space="preserve"> </v>
      </c>
      <c r="EB46" s="407" t="str">
        <f t="shared" si="70"/>
        <v xml:space="preserve"> </v>
      </c>
      <c r="EC46" s="407" t="str">
        <f t="shared" si="70"/>
        <v xml:space="preserve"> </v>
      </c>
      <c r="ED46" s="407" t="str">
        <f t="shared" si="70"/>
        <v xml:space="preserve"> </v>
      </c>
      <c r="EE46" s="407" t="str">
        <f t="shared" si="70"/>
        <v xml:space="preserve"> </v>
      </c>
    </row>
    <row r="47" spans="1:135" s="408" customFormat="1" x14ac:dyDescent="0.25">
      <c r="A47" s="390">
        <v>2</v>
      </c>
      <c r="B47" s="391" t="str">
        <f t="shared" si="25"/>
        <v>4.2</v>
      </c>
      <c r="C47" s="390" t="s">
        <v>925</v>
      </c>
      <c r="D47" s="393"/>
      <c r="E47" s="394"/>
      <c r="F47" s="409"/>
      <c r="G47" s="410"/>
      <c r="H47" s="410"/>
      <c r="I47" s="410"/>
      <c r="J47" s="411">
        <v>45778</v>
      </c>
      <c r="K47" s="412"/>
      <c r="L47" s="413"/>
      <c r="M47" s="411">
        <v>45807</v>
      </c>
      <c r="N47" s="414">
        <v>3</v>
      </c>
      <c r="O47" s="415">
        <v>0</v>
      </c>
      <c r="P47" s="401" t="s">
        <v>866</v>
      </c>
      <c r="Q47" s="402">
        <f t="shared" si="60"/>
        <v>45778</v>
      </c>
      <c r="R47" s="402">
        <f t="shared" si="27"/>
        <v>45807</v>
      </c>
      <c r="S47" s="403">
        <f t="shared" si="28"/>
        <v>20</v>
      </c>
      <c r="T47" s="403">
        <f t="shared" si="36"/>
        <v>30</v>
      </c>
      <c r="U47" s="404"/>
      <c r="V47" s="404"/>
      <c r="W47" s="405"/>
      <c r="X47" s="406" t="str">
        <f t="shared" si="71"/>
        <v xml:space="preserve"> </v>
      </c>
      <c r="Y47" s="406" t="str">
        <f t="shared" si="71"/>
        <v xml:space="preserve"> </v>
      </c>
      <c r="Z47" s="406" t="str">
        <f t="shared" si="71"/>
        <v xml:space="preserve"> </v>
      </c>
      <c r="AA47" s="406" t="str">
        <f t="shared" si="71"/>
        <v xml:space="preserve"> </v>
      </c>
      <c r="AB47" s="406" t="str">
        <f t="shared" si="71"/>
        <v xml:space="preserve"> </v>
      </c>
      <c r="AC47" s="406" t="str">
        <f t="shared" si="71"/>
        <v xml:space="preserve"> </v>
      </c>
      <c r="AD47" s="406" t="str">
        <f t="shared" si="71"/>
        <v xml:space="preserve"> </v>
      </c>
      <c r="AE47" s="406" t="str">
        <f t="shared" si="71"/>
        <v xml:space="preserve"> </v>
      </c>
      <c r="AF47" s="406" t="str">
        <f t="shared" si="71"/>
        <v xml:space="preserve"> </v>
      </c>
      <c r="AG47" s="406" t="str">
        <f t="shared" si="71"/>
        <v xml:space="preserve"> </v>
      </c>
      <c r="AH47" s="406" t="str">
        <f t="shared" si="67"/>
        <v xml:space="preserve"> </v>
      </c>
      <c r="AI47" s="406" t="str">
        <f t="shared" si="67"/>
        <v xml:space="preserve"> </v>
      </c>
      <c r="AJ47" s="406" t="str">
        <f t="shared" si="67"/>
        <v xml:space="preserve"> </v>
      </c>
      <c r="AK47" s="406" t="str">
        <f t="shared" si="67"/>
        <v xml:space="preserve"> </v>
      </c>
      <c r="AL47" s="406" t="str">
        <f t="shared" si="67"/>
        <v xml:space="preserve"> </v>
      </c>
      <c r="AM47" s="406" t="str">
        <f t="shared" si="67"/>
        <v xml:space="preserve"> </v>
      </c>
      <c r="AN47" s="406" t="str">
        <f t="shared" si="67"/>
        <v xml:space="preserve"> </v>
      </c>
      <c r="AO47" s="406" t="str">
        <f t="shared" si="67"/>
        <v xml:space="preserve"> </v>
      </c>
      <c r="AP47" s="406" t="str">
        <f t="shared" si="67"/>
        <v xml:space="preserve"> </v>
      </c>
      <c r="AQ47" s="406" t="str">
        <f t="shared" si="67"/>
        <v xml:space="preserve"> </v>
      </c>
      <c r="AR47" s="406" t="str">
        <f t="shared" si="67"/>
        <v xml:space="preserve"> </v>
      </c>
      <c r="AS47" s="406" t="str">
        <f t="shared" si="67"/>
        <v xml:space="preserve"> </v>
      </c>
      <c r="AT47" s="406" t="str">
        <f t="shared" si="67"/>
        <v xml:space="preserve"> </v>
      </c>
      <c r="AU47" s="406" t="str">
        <f t="shared" si="67"/>
        <v xml:space="preserve"> </v>
      </c>
      <c r="AV47" s="406" t="str">
        <f t="shared" si="67"/>
        <v xml:space="preserve"> </v>
      </c>
      <c r="AW47" s="406" t="str">
        <f t="shared" si="67"/>
        <v xml:space="preserve"> </v>
      </c>
      <c r="AX47" s="406" t="str">
        <f t="shared" si="72"/>
        <v xml:space="preserve"> </v>
      </c>
      <c r="AY47" s="406" t="str">
        <f t="shared" si="72"/>
        <v xml:space="preserve"> </v>
      </c>
      <c r="AZ47" s="406" t="str">
        <f t="shared" si="72"/>
        <v xml:space="preserve"> </v>
      </c>
      <c r="BA47" s="406" t="str">
        <f t="shared" si="72"/>
        <v xml:space="preserve"> </v>
      </c>
      <c r="BB47" s="406" t="str">
        <f t="shared" si="72"/>
        <v xml:space="preserve"> </v>
      </c>
      <c r="BC47" s="406" t="str">
        <f t="shared" si="72"/>
        <v xml:space="preserve"> </v>
      </c>
      <c r="BD47" s="406" t="str">
        <f t="shared" si="72"/>
        <v xml:space="preserve"> </v>
      </c>
      <c r="BE47" s="406" t="str">
        <f t="shared" si="72"/>
        <v xml:space="preserve"> </v>
      </c>
      <c r="BF47" s="406" t="str">
        <f t="shared" si="72"/>
        <v xml:space="preserve"> </v>
      </c>
      <c r="BG47" s="406" t="str">
        <f t="shared" si="72"/>
        <v xml:space="preserve"> </v>
      </c>
      <c r="BH47" s="406" t="str">
        <f t="shared" si="72"/>
        <v xml:space="preserve"> </v>
      </c>
      <c r="BI47" s="406" t="str">
        <f t="shared" si="72"/>
        <v xml:space="preserve"> </v>
      </c>
      <c r="BJ47" s="406" t="str">
        <f t="shared" si="72"/>
        <v xml:space="preserve"> </v>
      </c>
      <c r="BK47" s="406" t="str">
        <f t="shared" si="72"/>
        <v xml:space="preserve"> </v>
      </c>
      <c r="BL47" s="406" t="str">
        <f t="shared" si="72"/>
        <v xml:space="preserve"> </v>
      </c>
      <c r="BM47" s="406" t="str">
        <f t="shared" si="72"/>
        <v xml:space="preserve"> </v>
      </c>
      <c r="BN47" s="406" t="str">
        <f t="shared" si="73"/>
        <v xml:space="preserve"> </v>
      </c>
      <c r="BO47" s="406" t="str">
        <f t="shared" si="73"/>
        <v xml:space="preserve"> </v>
      </c>
      <c r="BP47" s="406" t="str">
        <f t="shared" si="73"/>
        <v xml:space="preserve"> </v>
      </c>
      <c r="BQ47" s="406" t="str">
        <f t="shared" si="73"/>
        <v xml:space="preserve"> </v>
      </c>
      <c r="BR47" s="406" t="str">
        <f t="shared" si="73"/>
        <v xml:space="preserve"> </v>
      </c>
      <c r="BS47" s="406" t="str">
        <f t="shared" si="73"/>
        <v xml:space="preserve"> </v>
      </c>
      <c r="BT47" s="406" t="str">
        <f t="shared" si="73"/>
        <v xml:space="preserve"> </v>
      </c>
      <c r="BU47" s="406" t="str">
        <f t="shared" si="73"/>
        <v xml:space="preserve"> </v>
      </c>
      <c r="BV47" s="406" t="str">
        <f t="shared" si="73"/>
        <v xml:space="preserve"> </v>
      </c>
      <c r="BW47" s="406" t="str">
        <f t="shared" si="73"/>
        <v xml:space="preserve"> </v>
      </c>
      <c r="BX47" s="406" t="str">
        <f t="shared" si="73"/>
        <v xml:space="preserve"> </v>
      </c>
      <c r="BY47" s="406" t="str">
        <f t="shared" si="73"/>
        <v xml:space="preserve"> </v>
      </c>
      <c r="BZ47" s="406" t="str">
        <f t="shared" si="73"/>
        <v xml:space="preserve"> </v>
      </c>
      <c r="CA47" s="406" t="str">
        <f t="shared" si="73"/>
        <v xml:space="preserve"> </v>
      </c>
      <c r="CB47" s="407" t="str">
        <f t="shared" si="73"/>
        <v xml:space="preserve"> </v>
      </c>
      <c r="CC47" s="407" t="str">
        <f t="shared" si="73"/>
        <v xml:space="preserve"> </v>
      </c>
      <c r="CD47" s="407" t="str">
        <f t="shared" si="74"/>
        <v xml:space="preserve"> </v>
      </c>
      <c r="CE47" s="407" t="str">
        <f t="shared" si="74"/>
        <v xml:space="preserve"> </v>
      </c>
      <c r="CF47" s="407" t="str">
        <f t="shared" si="74"/>
        <v xml:space="preserve"> </v>
      </c>
      <c r="CG47" s="407" t="str">
        <f t="shared" si="74"/>
        <v xml:space="preserve"> </v>
      </c>
      <c r="CH47" s="407" t="str">
        <f t="shared" si="74"/>
        <v xml:space="preserve"> </v>
      </c>
      <c r="CI47" s="407" t="str">
        <f t="shared" si="74"/>
        <v xml:space="preserve"> </v>
      </c>
      <c r="CJ47" s="407" t="str">
        <f t="shared" si="74"/>
        <v xml:space="preserve"> </v>
      </c>
      <c r="CK47" s="407" t="str">
        <f t="shared" si="74"/>
        <v xml:space="preserve"> </v>
      </c>
      <c r="CL47" s="407" t="str">
        <f t="shared" si="74"/>
        <v xml:space="preserve"> </v>
      </c>
      <c r="CM47" s="407" t="str">
        <f t="shared" si="74"/>
        <v xml:space="preserve"> </v>
      </c>
      <c r="CN47" s="407" t="str">
        <f t="shared" si="74"/>
        <v xml:space="preserve"> </v>
      </c>
      <c r="CO47" s="407" t="str">
        <f t="shared" si="74"/>
        <v xml:space="preserve"> </v>
      </c>
      <c r="CP47" s="407" t="str">
        <f t="shared" si="74"/>
        <v xml:space="preserve"> </v>
      </c>
      <c r="CQ47" s="407" t="str">
        <f t="shared" si="74"/>
        <v xml:space="preserve"> </v>
      </c>
      <c r="CR47" s="407" t="str">
        <f t="shared" si="74"/>
        <v xml:space="preserve"> </v>
      </c>
      <c r="CS47" s="407" t="str">
        <f t="shared" si="74"/>
        <v xml:space="preserve"> </v>
      </c>
      <c r="CT47" s="407" t="str">
        <f t="shared" si="75"/>
        <v xml:space="preserve"> </v>
      </c>
      <c r="CU47" s="407" t="str">
        <f t="shared" si="75"/>
        <v xml:space="preserve"> </v>
      </c>
      <c r="CV47" s="407" t="str">
        <f t="shared" si="75"/>
        <v xml:space="preserve"> </v>
      </c>
      <c r="CW47" s="407" t="str">
        <f t="shared" si="75"/>
        <v xml:space="preserve"> </v>
      </c>
      <c r="CX47" s="407" t="str">
        <f t="shared" si="75"/>
        <v xml:space="preserve"> </v>
      </c>
      <c r="CY47" s="407" t="str">
        <f t="shared" si="75"/>
        <v xml:space="preserve"> </v>
      </c>
      <c r="CZ47" s="407" t="str">
        <f t="shared" si="75"/>
        <v xml:space="preserve"> </v>
      </c>
      <c r="DA47" s="407" t="str">
        <f t="shared" si="75"/>
        <v xml:space="preserve"> </v>
      </c>
      <c r="DB47" s="407" t="str">
        <f t="shared" si="75"/>
        <v xml:space="preserve"> </v>
      </c>
      <c r="DC47" s="407" t="str">
        <f t="shared" si="75"/>
        <v xml:space="preserve"> </v>
      </c>
      <c r="DD47" s="407" t="str">
        <f t="shared" si="69"/>
        <v xml:space="preserve"> </v>
      </c>
      <c r="DE47" s="407" t="str">
        <f t="shared" si="69"/>
        <v xml:space="preserve"> </v>
      </c>
      <c r="DF47" s="407" t="str">
        <f t="shared" si="69"/>
        <v xml:space="preserve"> </v>
      </c>
      <c r="DG47" s="407" t="str">
        <f t="shared" si="69"/>
        <v xml:space="preserve"> </v>
      </c>
      <c r="DH47" s="407" t="str">
        <f t="shared" si="69"/>
        <v xml:space="preserve"> </v>
      </c>
      <c r="DI47" s="407" t="str">
        <f t="shared" si="69"/>
        <v xml:space="preserve"> </v>
      </c>
      <c r="DJ47" s="407" t="str">
        <f t="shared" si="69"/>
        <v xml:space="preserve"> </v>
      </c>
      <c r="DK47" s="407" t="str">
        <f t="shared" si="69"/>
        <v xml:space="preserve"> </v>
      </c>
      <c r="DL47" s="407" t="str">
        <f t="shared" si="69"/>
        <v xml:space="preserve"> </v>
      </c>
      <c r="DM47" s="407" t="str">
        <f t="shared" si="69"/>
        <v xml:space="preserve"> </v>
      </c>
      <c r="DN47" s="407" t="str">
        <f t="shared" si="69"/>
        <v xml:space="preserve"> </v>
      </c>
      <c r="DO47" s="407" t="str">
        <f t="shared" si="69"/>
        <v xml:space="preserve"> </v>
      </c>
      <c r="DP47" s="407" t="str">
        <f t="shared" si="70"/>
        <v xml:space="preserve"> </v>
      </c>
      <c r="DQ47" s="407" t="str">
        <f t="shared" si="70"/>
        <v xml:space="preserve"> </v>
      </c>
      <c r="DR47" s="407" t="str">
        <f t="shared" si="70"/>
        <v xml:space="preserve"> </v>
      </c>
      <c r="DS47" s="407" t="str">
        <f t="shared" si="70"/>
        <v xml:space="preserve"> </v>
      </c>
      <c r="DT47" s="407" t="str">
        <f t="shared" si="70"/>
        <v xml:space="preserve"> </v>
      </c>
      <c r="DU47" s="407" t="str">
        <f t="shared" si="70"/>
        <v xml:space="preserve"> </v>
      </c>
      <c r="DV47" s="407" t="str">
        <f t="shared" si="70"/>
        <v xml:space="preserve"> </v>
      </c>
      <c r="DW47" s="407" t="str">
        <f t="shared" si="70"/>
        <v xml:space="preserve"> </v>
      </c>
      <c r="DX47" s="407" t="str">
        <f t="shared" si="70"/>
        <v xml:space="preserve"> </v>
      </c>
      <c r="DY47" s="407" t="str">
        <f t="shared" si="70"/>
        <v xml:space="preserve"> </v>
      </c>
      <c r="DZ47" s="407" t="str">
        <f t="shared" si="70"/>
        <v xml:space="preserve"> </v>
      </c>
      <c r="EA47" s="407" t="str">
        <f t="shared" si="70"/>
        <v xml:space="preserve"> </v>
      </c>
      <c r="EB47" s="407" t="str">
        <f t="shared" si="70"/>
        <v xml:space="preserve"> </v>
      </c>
      <c r="EC47" s="407" t="str">
        <f t="shared" si="70"/>
        <v xml:space="preserve"> </v>
      </c>
      <c r="ED47" s="407" t="str">
        <f t="shared" si="70"/>
        <v xml:space="preserve"> </v>
      </c>
      <c r="EE47" s="407" t="str">
        <f t="shared" si="70"/>
        <v xml:space="preserve"> </v>
      </c>
    </row>
    <row r="48" spans="1:135" s="408" customFormat="1" x14ac:dyDescent="0.25">
      <c r="A48" s="390">
        <v>2</v>
      </c>
      <c r="B48" s="391" t="str">
        <f t="shared" si="25"/>
        <v>4.3</v>
      </c>
      <c r="C48" s="390" t="s">
        <v>1264</v>
      </c>
      <c r="D48" s="393"/>
      <c r="E48" s="394"/>
      <c r="F48" s="409"/>
      <c r="G48" s="410"/>
      <c r="H48" s="410"/>
      <c r="I48" s="410"/>
      <c r="J48" s="411">
        <v>45809</v>
      </c>
      <c r="K48" s="412"/>
      <c r="L48" s="413"/>
      <c r="M48" s="411">
        <v>45901</v>
      </c>
      <c r="N48" s="414"/>
      <c r="O48" s="415"/>
      <c r="P48" s="401"/>
      <c r="Q48" s="402"/>
      <c r="R48" s="402"/>
      <c r="S48" s="403"/>
      <c r="T48" s="403"/>
      <c r="U48" s="404"/>
      <c r="V48" s="404"/>
      <c r="W48" s="405"/>
      <c r="X48" s="406"/>
      <c r="Y48" s="406"/>
      <c r="Z48" s="406"/>
      <c r="AA48" s="406"/>
      <c r="AB48" s="406"/>
      <c r="AC48" s="406"/>
      <c r="AD48" s="406"/>
      <c r="AE48" s="406"/>
      <c r="AF48" s="406"/>
      <c r="AG48" s="406"/>
      <c r="AH48" s="406"/>
      <c r="AI48" s="406"/>
      <c r="AJ48" s="406"/>
      <c r="AK48" s="406"/>
      <c r="AL48" s="406"/>
      <c r="AM48" s="406"/>
      <c r="AN48" s="406"/>
      <c r="AO48" s="406"/>
      <c r="AP48" s="406"/>
      <c r="AQ48" s="406"/>
      <c r="AR48" s="406"/>
      <c r="AS48" s="406"/>
      <c r="AT48" s="406"/>
      <c r="AU48" s="406"/>
      <c r="AV48" s="406"/>
      <c r="AW48" s="406"/>
      <c r="AX48" s="406"/>
      <c r="AY48" s="406"/>
      <c r="AZ48" s="406"/>
      <c r="BA48" s="406"/>
      <c r="BB48" s="406"/>
      <c r="BC48" s="406"/>
      <c r="BD48" s="406"/>
      <c r="BE48" s="406"/>
      <c r="BF48" s="406"/>
      <c r="BG48" s="406"/>
      <c r="BH48" s="406"/>
      <c r="BI48" s="406"/>
      <c r="BJ48" s="406"/>
      <c r="BK48" s="406"/>
      <c r="BL48" s="406"/>
      <c r="BM48" s="406"/>
      <c r="BN48" s="406"/>
      <c r="BO48" s="406"/>
      <c r="BP48" s="406"/>
      <c r="BQ48" s="406"/>
      <c r="BR48" s="406"/>
      <c r="BS48" s="406"/>
      <c r="BT48" s="406"/>
      <c r="BU48" s="406"/>
      <c r="BV48" s="406"/>
      <c r="BW48" s="406"/>
      <c r="BX48" s="406"/>
      <c r="BY48" s="406"/>
      <c r="BZ48" s="406"/>
      <c r="CA48" s="406"/>
      <c r="CB48" s="407"/>
      <c r="CC48" s="407"/>
      <c r="CD48" s="407"/>
      <c r="CE48" s="407"/>
      <c r="CF48" s="407"/>
      <c r="CG48" s="407"/>
      <c r="CH48" s="407"/>
      <c r="CI48" s="407"/>
      <c r="CJ48" s="407"/>
      <c r="CK48" s="407"/>
      <c r="CL48" s="407"/>
      <c r="CM48" s="407"/>
      <c r="CN48" s="407"/>
      <c r="CO48" s="407"/>
      <c r="CP48" s="407"/>
      <c r="CQ48" s="407"/>
      <c r="CR48" s="407"/>
      <c r="CS48" s="407"/>
      <c r="CT48" s="407"/>
      <c r="CU48" s="407"/>
      <c r="CV48" s="407"/>
      <c r="CW48" s="407"/>
      <c r="CX48" s="407"/>
      <c r="CY48" s="407"/>
      <c r="CZ48" s="407"/>
      <c r="DA48" s="407"/>
      <c r="DB48" s="407"/>
      <c r="DC48" s="407"/>
      <c r="DD48" s="407"/>
      <c r="DE48" s="407"/>
      <c r="DF48" s="407"/>
      <c r="DG48" s="407"/>
      <c r="DH48" s="407"/>
      <c r="DI48" s="407"/>
      <c r="DJ48" s="407"/>
      <c r="DK48" s="407"/>
      <c r="DL48" s="407"/>
      <c r="DM48" s="407"/>
      <c r="DN48" s="407"/>
      <c r="DO48" s="407"/>
      <c r="DP48" s="407"/>
      <c r="DQ48" s="407"/>
      <c r="DR48" s="407"/>
      <c r="DS48" s="407"/>
      <c r="DT48" s="407"/>
      <c r="DU48" s="407"/>
      <c r="DV48" s="407"/>
      <c r="DW48" s="407"/>
      <c r="DX48" s="407"/>
      <c r="DY48" s="407"/>
      <c r="DZ48" s="407"/>
      <c r="EA48" s="407"/>
      <c r="EB48" s="407"/>
      <c r="EC48" s="407"/>
      <c r="ED48" s="407"/>
      <c r="EE48" s="407"/>
    </row>
    <row r="49" spans="1:135" s="408" customFormat="1" x14ac:dyDescent="0.25">
      <c r="A49" s="390">
        <v>2</v>
      </c>
      <c r="B49" s="391" t="str">
        <f t="shared" si="25"/>
        <v>4.4</v>
      </c>
      <c r="C49" s="390" t="s">
        <v>1263</v>
      </c>
      <c r="D49" s="393"/>
      <c r="E49" s="394"/>
      <c r="F49" s="409"/>
      <c r="G49" s="410"/>
      <c r="H49" s="410"/>
      <c r="I49" s="410"/>
      <c r="J49" s="411">
        <v>45809</v>
      </c>
      <c r="K49" s="412"/>
      <c r="L49" s="413"/>
      <c r="M49" s="411">
        <v>47635</v>
      </c>
      <c r="N49" s="414">
        <v>3</v>
      </c>
      <c r="O49" s="415">
        <v>0</v>
      </c>
      <c r="P49" s="401">
        <v>3</v>
      </c>
      <c r="Q49" s="402">
        <f t="shared" ref="Q49:Q60" si="78">IF(OR(J49&lt;&gt;"",F49&lt;&gt;""),MAX(J49,IF(F49&lt;&gt;"",WORKDAY.INTL(MAX(IFERROR(INDEX($R$11:$R$60,MATCH(F49,$B$11:$B$60,0)),0),IFERROR(INDEX($R$11:$R$60,MATCH(G49,$B$11:$B$60,0)),0),IFERROR(INDEX($R$11:$R$60,MATCH(H49,$B$11:$B$60,0)),0)),IF(ISBLANK(I49),1,I49+1),weekend,holidays),0)),IF(M49&lt;&gt;"",IF(L49&lt;&gt;"",M49-MAX(0,L49-1),WORKDAY.INTL(M49,-(MAX(K49,1)-1),weekend,holidays))," - "))</f>
        <v>45809</v>
      </c>
      <c r="R49" s="402">
        <f t="shared" ref="R49" si="79">IF(Q49=" - "," - ",MAX(M49,IF(L49&lt;&gt;"",Q49+MAX(0,L49-1),WORKDAY.INTL(IF(NETWORKDAYS.INTL(Q49,Q49,weekend,holidays)=0,WORKDAY.INTL(Q49,1,weekend,holidays),Q49),MAX(0,K49-1),weekend,holidays))))</f>
        <v>47635</v>
      </c>
      <c r="S49" s="403">
        <f t="shared" ref="S49" si="80">IF(OR(NOT(ISNUMBER(Q49)),NOT(ISNUMBER(R49)))," - ",NETWORKDAYS.INTL(Q49,R49,weekend,holidays))</f>
        <v>1233</v>
      </c>
      <c r="T49" s="403">
        <f t="shared" ref="T49" si="81">IF(OR(NOT(ISNUMBER(Q49)),NOT(ISNUMBER(R49)))," - ",R49-Q49+1)</f>
        <v>1827</v>
      </c>
      <c r="U49" s="404"/>
      <c r="V49" s="404"/>
      <c r="W49" s="405"/>
      <c r="X49" s="406" t="str">
        <f t="shared" si="71"/>
        <v xml:space="preserve"> </v>
      </c>
      <c r="Y49" s="406" t="str">
        <f t="shared" si="71"/>
        <v xml:space="preserve"> </v>
      </c>
      <c r="Z49" s="406" t="str">
        <f t="shared" si="71"/>
        <v xml:space="preserve"> </v>
      </c>
      <c r="AA49" s="406" t="str">
        <f t="shared" si="71"/>
        <v xml:space="preserve"> </v>
      </c>
      <c r="AB49" s="406" t="str">
        <f t="shared" si="71"/>
        <v xml:space="preserve"> </v>
      </c>
      <c r="AC49" s="406" t="str">
        <f t="shared" si="71"/>
        <v xml:space="preserve"> </v>
      </c>
      <c r="AD49" s="406" t="str">
        <f t="shared" si="71"/>
        <v xml:space="preserve"> </v>
      </c>
      <c r="AE49" s="406" t="str">
        <f t="shared" si="71"/>
        <v xml:space="preserve"> </v>
      </c>
      <c r="AF49" s="406" t="str">
        <f t="shared" si="71"/>
        <v xml:space="preserve"> </v>
      </c>
      <c r="AG49" s="406" t="str">
        <f t="shared" si="71"/>
        <v xml:space="preserve"> </v>
      </c>
      <c r="AH49" s="406" t="str">
        <f t="shared" si="67"/>
        <v xml:space="preserve"> </v>
      </c>
      <c r="AI49" s="406" t="str">
        <f t="shared" si="67"/>
        <v xml:space="preserve"> </v>
      </c>
      <c r="AJ49" s="406" t="str">
        <f t="shared" si="67"/>
        <v xml:space="preserve"> </v>
      </c>
      <c r="AK49" s="406" t="str">
        <f t="shared" si="67"/>
        <v xml:space="preserve"> </v>
      </c>
      <c r="AL49" s="406" t="str">
        <f t="shared" si="67"/>
        <v xml:space="preserve"> </v>
      </c>
      <c r="AM49" s="406" t="str">
        <f t="shared" si="67"/>
        <v xml:space="preserve"> </v>
      </c>
      <c r="AN49" s="406" t="str">
        <f t="shared" si="67"/>
        <v xml:space="preserve"> </v>
      </c>
      <c r="AO49" s="406" t="str">
        <f t="shared" si="67"/>
        <v xml:space="preserve"> </v>
      </c>
      <c r="AP49" s="406" t="str">
        <f t="shared" si="67"/>
        <v xml:space="preserve"> </v>
      </c>
      <c r="AQ49" s="406" t="str">
        <f t="shared" si="67"/>
        <v xml:space="preserve"> </v>
      </c>
      <c r="AR49" s="406" t="str">
        <f t="shared" ref="AR49:AW49" si="82">" "</f>
        <v xml:space="preserve"> </v>
      </c>
      <c r="AS49" s="406" t="str">
        <f t="shared" si="82"/>
        <v xml:space="preserve"> </v>
      </c>
      <c r="AT49" s="406" t="str">
        <f t="shared" si="82"/>
        <v xml:space="preserve"> </v>
      </c>
      <c r="AU49" s="406" t="str">
        <f t="shared" si="82"/>
        <v xml:space="preserve"> </v>
      </c>
      <c r="AV49" s="406" t="str">
        <f t="shared" si="82"/>
        <v xml:space="preserve"> </v>
      </c>
      <c r="AW49" s="406" t="str">
        <f t="shared" si="82"/>
        <v xml:space="preserve"> </v>
      </c>
      <c r="AX49" s="406" t="str">
        <f t="shared" si="72"/>
        <v xml:space="preserve"> </v>
      </c>
      <c r="AY49" s="406" t="str">
        <f t="shared" si="72"/>
        <v xml:space="preserve"> </v>
      </c>
      <c r="AZ49" s="406" t="str">
        <f t="shared" si="72"/>
        <v xml:space="preserve"> </v>
      </c>
      <c r="BA49" s="406" t="str">
        <f t="shared" ref="BA49:CC49" si="83">" "</f>
        <v xml:space="preserve"> </v>
      </c>
      <c r="BB49" s="406" t="str">
        <f t="shared" si="83"/>
        <v xml:space="preserve"> </v>
      </c>
      <c r="BC49" s="406" t="str">
        <f t="shared" si="83"/>
        <v xml:space="preserve"> </v>
      </c>
      <c r="BD49" s="406" t="str">
        <f t="shared" si="83"/>
        <v xml:space="preserve"> </v>
      </c>
      <c r="BE49" s="406" t="str">
        <f t="shared" si="83"/>
        <v xml:space="preserve"> </v>
      </c>
      <c r="BF49" s="406" t="str">
        <f t="shared" si="83"/>
        <v xml:space="preserve"> </v>
      </c>
      <c r="BG49" s="406" t="str">
        <f t="shared" si="83"/>
        <v xml:space="preserve"> </v>
      </c>
      <c r="BH49" s="406" t="str">
        <f t="shared" si="83"/>
        <v xml:space="preserve"> </v>
      </c>
      <c r="BI49" s="406" t="str">
        <f t="shared" si="83"/>
        <v xml:space="preserve"> </v>
      </c>
      <c r="BJ49" s="406" t="str">
        <f t="shared" si="83"/>
        <v xml:space="preserve"> </v>
      </c>
      <c r="BK49" s="406" t="str">
        <f t="shared" si="83"/>
        <v xml:space="preserve"> </v>
      </c>
      <c r="BL49" s="406" t="str">
        <f t="shared" si="83"/>
        <v xml:space="preserve"> </v>
      </c>
      <c r="BM49" s="406" t="str">
        <f t="shared" si="83"/>
        <v xml:space="preserve"> </v>
      </c>
      <c r="BN49" s="406" t="str">
        <f t="shared" si="83"/>
        <v xml:space="preserve"> </v>
      </c>
      <c r="BO49" s="406" t="str">
        <f t="shared" si="83"/>
        <v xml:space="preserve"> </v>
      </c>
      <c r="BP49" s="406" t="str">
        <f t="shared" si="83"/>
        <v xml:space="preserve"> </v>
      </c>
      <c r="BQ49" s="406" t="str">
        <f t="shared" si="83"/>
        <v xml:space="preserve"> </v>
      </c>
      <c r="BR49" s="406" t="str">
        <f t="shared" si="83"/>
        <v xml:space="preserve"> </v>
      </c>
      <c r="BS49" s="406" t="str">
        <f t="shared" si="83"/>
        <v xml:space="preserve"> </v>
      </c>
      <c r="BT49" s="406" t="str">
        <f t="shared" si="83"/>
        <v xml:space="preserve"> </v>
      </c>
      <c r="BU49" s="406" t="str">
        <f t="shared" si="83"/>
        <v xml:space="preserve"> </v>
      </c>
      <c r="BV49" s="406" t="str">
        <f t="shared" si="83"/>
        <v xml:space="preserve"> </v>
      </c>
      <c r="BW49" s="406" t="str">
        <f t="shared" si="83"/>
        <v xml:space="preserve"> </v>
      </c>
      <c r="BX49" s="406" t="str">
        <f t="shared" si="83"/>
        <v xml:space="preserve"> </v>
      </c>
      <c r="BY49" s="406" t="str">
        <f t="shared" si="83"/>
        <v xml:space="preserve"> </v>
      </c>
      <c r="BZ49" s="406" t="str">
        <f t="shared" si="83"/>
        <v xml:space="preserve"> </v>
      </c>
      <c r="CA49" s="406" t="str">
        <f t="shared" si="83"/>
        <v xml:space="preserve"> </v>
      </c>
      <c r="CB49" s="407" t="str">
        <f t="shared" si="83"/>
        <v xml:space="preserve"> </v>
      </c>
      <c r="CC49" s="407" t="str">
        <f t="shared" si="83"/>
        <v xml:space="preserve"> </v>
      </c>
      <c r="CD49" s="407" t="str">
        <f t="shared" si="74"/>
        <v xml:space="preserve"> </v>
      </c>
      <c r="CE49" s="407" t="str">
        <f t="shared" si="74"/>
        <v xml:space="preserve"> </v>
      </c>
      <c r="CF49" s="407" t="str">
        <f t="shared" si="74"/>
        <v xml:space="preserve"> </v>
      </c>
      <c r="CG49" s="407" t="str">
        <f t="shared" si="74"/>
        <v xml:space="preserve"> </v>
      </c>
      <c r="CH49" s="407" t="str">
        <f t="shared" ref="CH49:CS49" si="84">" "</f>
        <v xml:space="preserve"> </v>
      </c>
      <c r="CI49" s="407" t="str">
        <f t="shared" si="84"/>
        <v xml:space="preserve"> </v>
      </c>
      <c r="CJ49" s="407" t="str">
        <f t="shared" si="84"/>
        <v xml:space="preserve"> </v>
      </c>
      <c r="CK49" s="407" t="str">
        <f t="shared" si="84"/>
        <v xml:space="preserve"> </v>
      </c>
      <c r="CL49" s="407" t="str">
        <f t="shared" si="84"/>
        <v xml:space="preserve"> </v>
      </c>
      <c r="CM49" s="407" t="str">
        <f t="shared" si="84"/>
        <v xml:space="preserve"> </v>
      </c>
      <c r="CN49" s="407" t="str">
        <f t="shared" si="84"/>
        <v xml:space="preserve"> </v>
      </c>
      <c r="CO49" s="407" t="str">
        <f t="shared" si="84"/>
        <v xml:space="preserve"> </v>
      </c>
      <c r="CP49" s="407" t="str">
        <f t="shared" si="84"/>
        <v xml:space="preserve"> </v>
      </c>
      <c r="CQ49" s="407" t="str">
        <f t="shared" si="84"/>
        <v xml:space="preserve"> </v>
      </c>
      <c r="CR49" s="407" t="str">
        <f t="shared" si="84"/>
        <v xml:space="preserve"> </v>
      </c>
      <c r="CS49" s="407" t="str">
        <f t="shared" si="84"/>
        <v xml:space="preserve"> </v>
      </c>
      <c r="CT49" s="407" t="str">
        <f t="shared" si="75"/>
        <v xml:space="preserve"> </v>
      </c>
      <c r="CU49" s="407" t="str">
        <f t="shared" si="75"/>
        <v xml:space="preserve"> </v>
      </c>
      <c r="CV49" s="407" t="str">
        <f t="shared" si="75"/>
        <v xml:space="preserve"> </v>
      </c>
      <c r="CW49" s="407" t="str">
        <f t="shared" si="75"/>
        <v xml:space="preserve"> </v>
      </c>
      <c r="CX49" s="407" t="str">
        <f t="shared" si="75"/>
        <v xml:space="preserve"> </v>
      </c>
      <c r="CY49" s="407" t="str">
        <f t="shared" si="75"/>
        <v xml:space="preserve"> </v>
      </c>
      <c r="CZ49" s="407" t="str">
        <f t="shared" si="75"/>
        <v xml:space="preserve"> </v>
      </c>
      <c r="DA49" s="407" t="str">
        <f t="shared" si="75"/>
        <v xml:space="preserve"> </v>
      </c>
      <c r="DB49" s="407" t="str">
        <f t="shared" si="75"/>
        <v xml:space="preserve"> </v>
      </c>
      <c r="DC49" s="407" t="str">
        <f t="shared" si="75"/>
        <v xml:space="preserve"> </v>
      </c>
      <c r="DD49" s="407" t="str">
        <f t="shared" si="69"/>
        <v xml:space="preserve"> </v>
      </c>
      <c r="DE49" s="407" t="str">
        <f t="shared" si="69"/>
        <v xml:space="preserve"> </v>
      </c>
      <c r="DF49" s="407" t="str">
        <f t="shared" si="69"/>
        <v xml:space="preserve"> </v>
      </c>
      <c r="DG49" s="407" t="str">
        <f t="shared" si="69"/>
        <v xml:space="preserve"> </v>
      </c>
      <c r="DH49" s="407" t="str">
        <f t="shared" si="69"/>
        <v xml:space="preserve"> </v>
      </c>
      <c r="DI49" s="407" t="str">
        <f t="shared" si="69"/>
        <v xml:space="preserve"> </v>
      </c>
      <c r="DJ49" s="407" t="str">
        <f t="shared" si="69"/>
        <v xml:space="preserve"> </v>
      </c>
      <c r="DK49" s="407" t="str">
        <f t="shared" si="69"/>
        <v xml:space="preserve"> </v>
      </c>
      <c r="DL49" s="407" t="str">
        <f t="shared" si="69"/>
        <v xml:space="preserve"> </v>
      </c>
      <c r="DM49" s="407" t="str">
        <f t="shared" si="69"/>
        <v xml:space="preserve"> </v>
      </c>
      <c r="DN49" s="407" t="str">
        <f t="shared" si="69"/>
        <v xml:space="preserve"> </v>
      </c>
      <c r="DO49" s="407" t="str">
        <f t="shared" si="69"/>
        <v xml:space="preserve"> </v>
      </c>
      <c r="DP49" s="407" t="str">
        <f t="shared" si="70"/>
        <v xml:space="preserve"> </v>
      </c>
      <c r="DQ49" s="407" t="str">
        <f t="shared" si="70"/>
        <v xml:space="preserve"> </v>
      </c>
      <c r="DR49" s="407" t="str">
        <f t="shared" si="70"/>
        <v xml:space="preserve"> </v>
      </c>
      <c r="DS49" s="407" t="str">
        <f t="shared" si="70"/>
        <v xml:space="preserve"> </v>
      </c>
      <c r="DT49" s="407" t="str">
        <f t="shared" si="70"/>
        <v xml:space="preserve"> </v>
      </c>
      <c r="DU49" s="407" t="str">
        <f t="shared" si="70"/>
        <v xml:space="preserve"> </v>
      </c>
      <c r="DV49" s="407" t="str">
        <f t="shared" si="70"/>
        <v xml:space="preserve"> </v>
      </c>
      <c r="DW49" s="407" t="str">
        <f t="shared" si="70"/>
        <v xml:space="preserve"> </v>
      </c>
      <c r="DX49" s="407" t="str">
        <f t="shared" si="70"/>
        <v xml:space="preserve"> </v>
      </c>
      <c r="DY49" s="407" t="str">
        <f t="shared" si="70"/>
        <v xml:space="preserve"> </v>
      </c>
      <c r="DZ49" s="407" t="str">
        <f t="shared" si="70"/>
        <v xml:space="preserve"> </v>
      </c>
      <c r="EA49" s="407" t="str">
        <f t="shared" si="70"/>
        <v xml:space="preserve"> </v>
      </c>
      <c r="EB49" s="407" t="str">
        <f t="shared" si="70"/>
        <v xml:space="preserve"> </v>
      </c>
      <c r="EC49" s="407" t="str">
        <f t="shared" ref="EC49:EE49" si="85">" "</f>
        <v xml:space="preserve"> </v>
      </c>
      <c r="ED49" s="407" t="str">
        <f t="shared" si="85"/>
        <v xml:space="preserve"> </v>
      </c>
      <c r="EE49" s="407" t="str">
        <f t="shared" si="85"/>
        <v xml:space="preserve"> </v>
      </c>
    </row>
    <row r="50" spans="1:135" s="408" customFormat="1" x14ac:dyDescent="0.25">
      <c r="A50" s="390"/>
      <c r="B50" s="391" t="str">
        <f t="shared" ref="B50:B59" si="86">IF(A50="","-",IF(A50&gt;prevLevel,IF(OR(prevWBS="",prevWBS="-"),"1",prevWBS)&amp;REPT(".1",A50-MAX(prevLevel,1)),IF(ISERROR(FIND(".",prevWBS)),REPT("1.",A50-1)&amp;IFERROR(VALUE(prevWBS)+1,"1"),IF(A50=1,"",IFERROR(LEFT(prevWBS,FIND("^",SUBSTITUTE(prevWBS,".","^",A50-1))),""))&amp;VALUE(TRIM(MID(SUBSTITUTE(prevWBS,".",REPT(" ",LEN(prevWBS))),(A50-1)*LEN(prevWBS)+1,LEN(prevWBS))))+1)))</f>
        <v>-</v>
      </c>
      <c r="C50" s="393"/>
      <c r="D50" s="393"/>
      <c r="E50" s="394"/>
      <c r="F50" s="409"/>
      <c r="G50" s="410"/>
      <c r="H50" s="410"/>
      <c r="I50" s="410"/>
      <c r="J50" s="411"/>
      <c r="K50" s="412"/>
      <c r="L50" s="413"/>
      <c r="M50" s="411"/>
      <c r="N50" s="414"/>
      <c r="O50" s="415"/>
      <c r="P50" s="401"/>
      <c r="Q50" s="402" t="str">
        <f t="shared" si="78"/>
        <v xml:space="preserve"> - </v>
      </c>
      <c r="R50" s="402" t="str">
        <f t="shared" ref="R50:R51" si="87">IF(Q50=" - "," - ",MAX(M50,IF(L50&lt;&gt;"",Q50+MAX(0,L50-1),WORKDAY.INTL(IF(NETWORKDAYS.INTL(Q50,Q50,weekend,holidays)=0,WORKDAY.INTL(Q50,1,weekend,holidays),Q50),MAX(0,K50-1),weekend,holidays))))</f>
        <v xml:space="preserve"> - </v>
      </c>
      <c r="S50" s="403" t="str">
        <f t="shared" ref="S50:S51" si="88">IF(OR(NOT(ISNUMBER(Q50)),NOT(ISNUMBER(R50)))," - ",NETWORKDAYS.INTL(Q50,R50,weekend,holidays))</f>
        <v xml:space="preserve"> - </v>
      </c>
      <c r="T50" s="403" t="str">
        <f t="shared" si="36"/>
        <v xml:space="preserve"> - </v>
      </c>
      <c r="U50" s="404"/>
      <c r="V50" s="404"/>
      <c r="W50" s="405"/>
      <c r="X50" s="406" t="str">
        <f t="shared" ref="X50:AL50" si="89">" "</f>
        <v xml:space="preserve"> </v>
      </c>
      <c r="Y50" s="406" t="str">
        <f t="shared" si="89"/>
        <v xml:space="preserve"> </v>
      </c>
      <c r="Z50" s="406" t="str">
        <f t="shared" si="89"/>
        <v xml:space="preserve"> </v>
      </c>
      <c r="AA50" s="406" t="str">
        <f t="shared" si="89"/>
        <v xml:space="preserve"> </v>
      </c>
      <c r="AB50" s="406" t="str">
        <f t="shared" si="89"/>
        <v xml:space="preserve"> </v>
      </c>
      <c r="AC50" s="406" t="str">
        <f t="shared" si="89"/>
        <v xml:space="preserve"> </v>
      </c>
      <c r="AD50" s="406" t="str">
        <f t="shared" si="89"/>
        <v xml:space="preserve"> </v>
      </c>
      <c r="AE50" s="406" t="str">
        <f t="shared" si="89"/>
        <v xml:space="preserve"> </v>
      </c>
      <c r="AF50" s="406" t="str">
        <f t="shared" si="89"/>
        <v xml:space="preserve"> </v>
      </c>
      <c r="AG50" s="406" t="str">
        <f t="shared" si="89"/>
        <v xml:space="preserve"> </v>
      </c>
      <c r="AH50" s="406" t="str">
        <f t="shared" si="89"/>
        <v xml:space="preserve"> </v>
      </c>
      <c r="AI50" s="406" t="str">
        <f t="shared" si="89"/>
        <v xml:space="preserve"> </v>
      </c>
      <c r="AJ50" s="406" t="str">
        <f t="shared" si="89"/>
        <v xml:space="preserve"> </v>
      </c>
      <c r="AK50" s="406" t="str">
        <f t="shared" si="89"/>
        <v xml:space="preserve"> </v>
      </c>
      <c r="AL50" s="406" t="str">
        <f t="shared" si="89"/>
        <v xml:space="preserve"> </v>
      </c>
      <c r="AM50" s="406" t="str">
        <f t="shared" ref="AM50:BB59" si="90">" "</f>
        <v xml:space="preserve"> </v>
      </c>
      <c r="AN50" s="406" t="str">
        <f t="shared" si="90"/>
        <v xml:space="preserve"> </v>
      </c>
      <c r="AO50" s="406" t="str">
        <f t="shared" si="90"/>
        <v xml:space="preserve"> </v>
      </c>
      <c r="AP50" s="406" t="str">
        <f t="shared" si="90"/>
        <v xml:space="preserve"> </v>
      </c>
      <c r="AQ50" s="406" t="str">
        <f t="shared" si="90"/>
        <v xml:space="preserve"> </v>
      </c>
      <c r="AR50" s="406" t="str">
        <f t="shared" si="90"/>
        <v xml:space="preserve"> </v>
      </c>
      <c r="AS50" s="406" t="str">
        <f t="shared" si="90"/>
        <v xml:space="preserve"> </v>
      </c>
      <c r="AT50" s="406" t="str">
        <f t="shared" si="90"/>
        <v xml:space="preserve"> </v>
      </c>
      <c r="AU50" s="406" t="str">
        <f t="shared" si="90"/>
        <v xml:space="preserve"> </v>
      </c>
      <c r="AV50" s="406" t="str">
        <f t="shared" si="90"/>
        <v xml:space="preserve"> </v>
      </c>
      <c r="AW50" s="406" t="str">
        <f t="shared" si="90"/>
        <v xml:space="preserve"> </v>
      </c>
      <c r="AX50" s="406" t="str">
        <f t="shared" si="90"/>
        <v xml:space="preserve"> </v>
      </c>
      <c r="AY50" s="406" t="str">
        <f t="shared" si="90"/>
        <v xml:space="preserve"> </v>
      </c>
      <c r="AZ50" s="406" t="str">
        <f t="shared" si="90"/>
        <v xml:space="preserve"> </v>
      </c>
      <c r="BA50" s="406" t="str">
        <f t="shared" si="90"/>
        <v xml:space="preserve"> </v>
      </c>
      <c r="BB50" s="406" t="str">
        <f t="shared" si="90"/>
        <v xml:space="preserve"> </v>
      </c>
      <c r="BC50" s="406" t="str">
        <f t="shared" ref="BB50:BQ59" si="91">" "</f>
        <v xml:space="preserve"> </v>
      </c>
      <c r="BD50" s="406" t="str">
        <f t="shared" si="91"/>
        <v xml:space="preserve"> </v>
      </c>
      <c r="BE50" s="406" t="str">
        <f t="shared" si="91"/>
        <v xml:space="preserve"> </v>
      </c>
      <c r="BF50" s="406" t="str">
        <f t="shared" si="91"/>
        <v xml:space="preserve"> </v>
      </c>
      <c r="BG50" s="406" t="str">
        <f t="shared" si="91"/>
        <v xml:space="preserve"> </v>
      </c>
      <c r="BH50" s="406" t="str">
        <f t="shared" si="91"/>
        <v xml:space="preserve"> </v>
      </c>
      <c r="BI50" s="406" t="str">
        <f t="shared" si="91"/>
        <v xml:space="preserve"> </v>
      </c>
      <c r="BJ50" s="406" t="str">
        <f t="shared" si="91"/>
        <v xml:space="preserve"> </v>
      </c>
      <c r="BK50" s="406" t="str">
        <f t="shared" si="91"/>
        <v xml:space="preserve"> </v>
      </c>
      <c r="BL50" s="406" t="str">
        <f t="shared" ref="BL50:BS50" si="92">" "</f>
        <v xml:space="preserve"> </v>
      </c>
      <c r="BM50" s="406" t="str">
        <f t="shared" si="92"/>
        <v xml:space="preserve"> </v>
      </c>
      <c r="BN50" s="406" t="str">
        <f t="shared" si="92"/>
        <v xml:space="preserve"> </v>
      </c>
      <c r="BO50" s="406" t="str">
        <f t="shared" si="92"/>
        <v xml:space="preserve"> </v>
      </c>
      <c r="BP50" s="406" t="str">
        <f t="shared" si="92"/>
        <v xml:space="preserve"> </v>
      </c>
      <c r="BQ50" s="406" t="str">
        <f t="shared" si="92"/>
        <v xml:space="preserve"> </v>
      </c>
      <c r="BR50" s="406" t="str">
        <f t="shared" si="92"/>
        <v xml:space="preserve"> </v>
      </c>
      <c r="BS50" s="406" t="str">
        <f t="shared" si="92"/>
        <v xml:space="preserve"> </v>
      </c>
      <c r="BT50" s="406" t="str">
        <f t="shared" ref="BT50:CH50" si="93">" "</f>
        <v xml:space="preserve"> </v>
      </c>
      <c r="BU50" s="406" t="str">
        <f t="shared" si="93"/>
        <v xml:space="preserve"> </v>
      </c>
      <c r="BV50" s="406" t="str">
        <f t="shared" si="93"/>
        <v xml:space="preserve"> </v>
      </c>
      <c r="BW50" s="406" t="str">
        <f t="shared" si="93"/>
        <v xml:space="preserve"> </v>
      </c>
      <c r="BX50" s="406" t="str">
        <f t="shared" si="93"/>
        <v xml:space="preserve"> </v>
      </c>
      <c r="BY50" s="406" t="str">
        <f t="shared" si="93"/>
        <v xml:space="preserve"> </v>
      </c>
      <c r="BZ50" s="406" t="str">
        <f t="shared" si="93"/>
        <v xml:space="preserve"> </v>
      </c>
      <c r="CA50" s="406" t="str">
        <f t="shared" si="93"/>
        <v xml:space="preserve"> </v>
      </c>
      <c r="CB50" s="407" t="str">
        <f t="shared" si="93"/>
        <v xml:space="preserve"> </v>
      </c>
      <c r="CC50" s="407" t="str">
        <f t="shared" si="93"/>
        <v xml:space="preserve"> </v>
      </c>
      <c r="CD50" s="407" t="str">
        <f t="shared" si="93"/>
        <v xml:space="preserve"> </v>
      </c>
      <c r="CE50" s="407" t="str">
        <f t="shared" si="93"/>
        <v xml:space="preserve"> </v>
      </c>
      <c r="CF50" s="407" t="str">
        <f t="shared" si="93"/>
        <v xml:space="preserve"> </v>
      </c>
      <c r="CG50" s="407" t="str">
        <f t="shared" si="93"/>
        <v xml:space="preserve"> </v>
      </c>
      <c r="CH50" s="407" t="str">
        <f t="shared" si="93"/>
        <v xml:space="preserve"> </v>
      </c>
      <c r="CI50" s="407" t="str">
        <f t="shared" ref="CI50:CX59" si="94">" "</f>
        <v xml:space="preserve"> </v>
      </c>
      <c r="CJ50" s="407" t="str">
        <f t="shared" si="94"/>
        <v xml:space="preserve"> </v>
      </c>
      <c r="CK50" s="407" t="str">
        <f t="shared" si="94"/>
        <v xml:space="preserve"> </v>
      </c>
      <c r="CL50" s="407" t="str">
        <f t="shared" si="94"/>
        <v xml:space="preserve"> </v>
      </c>
      <c r="CM50" s="407" t="str">
        <f t="shared" si="94"/>
        <v xml:space="preserve"> </v>
      </c>
      <c r="CN50" s="407" t="str">
        <f t="shared" si="94"/>
        <v xml:space="preserve"> </v>
      </c>
      <c r="CO50" s="407" t="str">
        <f t="shared" si="94"/>
        <v xml:space="preserve"> </v>
      </c>
      <c r="CP50" s="407" t="str">
        <f t="shared" ref="CP50:CY50" si="95">" "</f>
        <v xml:space="preserve"> </v>
      </c>
      <c r="CQ50" s="407" t="str">
        <f t="shared" si="95"/>
        <v xml:space="preserve"> </v>
      </c>
      <c r="CR50" s="407" t="str">
        <f t="shared" si="95"/>
        <v xml:space="preserve"> </v>
      </c>
      <c r="CS50" s="407" t="str">
        <f t="shared" si="95"/>
        <v xml:space="preserve"> </v>
      </c>
      <c r="CT50" s="407" t="str">
        <f t="shared" si="95"/>
        <v xml:space="preserve"> </v>
      </c>
      <c r="CU50" s="407" t="str">
        <f t="shared" si="95"/>
        <v xml:space="preserve"> </v>
      </c>
      <c r="CV50" s="407" t="str">
        <f t="shared" si="95"/>
        <v xml:space="preserve"> </v>
      </c>
      <c r="CW50" s="407" t="str">
        <f t="shared" si="95"/>
        <v xml:space="preserve"> </v>
      </c>
      <c r="CX50" s="407" t="str">
        <f t="shared" si="95"/>
        <v xml:space="preserve"> </v>
      </c>
      <c r="CY50" s="407" t="str">
        <f t="shared" si="95"/>
        <v xml:space="preserve"> </v>
      </c>
      <c r="CZ50" s="407" t="str">
        <f t="shared" ref="CZ50:DP59" si="96">" "</f>
        <v xml:space="preserve"> </v>
      </c>
      <c r="DA50" s="407" t="str">
        <f t="shared" si="96"/>
        <v xml:space="preserve"> </v>
      </c>
      <c r="DB50" s="407" t="str">
        <f t="shared" si="96"/>
        <v xml:space="preserve"> </v>
      </c>
      <c r="DC50" s="407" t="str">
        <f t="shared" si="96"/>
        <v xml:space="preserve"> </v>
      </c>
      <c r="DD50" s="407" t="str">
        <f t="shared" si="96"/>
        <v xml:space="preserve"> </v>
      </c>
      <c r="DE50" s="407" t="str">
        <f t="shared" si="96"/>
        <v xml:space="preserve"> </v>
      </c>
      <c r="DF50" s="407" t="str">
        <f t="shared" si="96"/>
        <v xml:space="preserve"> </v>
      </c>
      <c r="DG50" s="407" t="str">
        <f t="shared" si="96"/>
        <v xml:space="preserve"> </v>
      </c>
      <c r="DH50" s="407" t="str">
        <f t="shared" si="96"/>
        <v xml:space="preserve"> </v>
      </c>
      <c r="DI50" s="407" t="str">
        <f t="shared" si="96"/>
        <v xml:space="preserve"> </v>
      </c>
      <c r="DJ50" s="407" t="str">
        <f t="shared" si="96"/>
        <v xml:space="preserve"> </v>
      </c>
      <c r="DK50" s="407" t="str">
        <f t="shared" si="96"/>
        <v xml:space="preserve"> </v>
      </c>
      <c r="DL50" s="407" t="str">
        <f t="shared" si="96"/>
        <v xml:space="preserve"> </v>
      </c>
      <c r="DM50" s="407" t="str">
        <f t="shared" si="96"/>
        <v xml:space="preserve"> </v>
      </c>
      <c r="DN50" s="407" t="str">
        <f t="shared" si="96"/>
        <v xml:space="preserve"> </v>
      </c>
      <c r="DO50" s="407" t="str">
        <f t="shared" si="96"/>
        <v xml:space="preserve"> </v>
      </c>
      <c r="DP50" s="407" t="str">
        <f t="shared" si="96"/>
        <v xml:space="preserve"> </v>
      </c>
      <c r="DQ50" s="407" t="str">
        <f t="shared" ref="DQ50:EE59" si="97">" "</f>
        <v xml:space="preserve"> </v>
      </c>
      <c r="DR50" s="407" t="str">
        <f t="shared" si="97"/>
        <v xml:space="preserve"> </v>
      </c>
      <c r="DS50" s="407" t="str">
        <f t="shared" si="97"/>
        <v xml:space="preserve"> </v>
      </c>
      <c r="DT50" s="407" t="str">
        <f t="shared" si="97"/>
        <v xml:space="preserve"> </v>
      </c>
      <c r="DU50" s="407" t="str">
        <f t="shared" si="97"/>
        <v xml:space="preserve"> </v>
      </c>
      <c r="DV50" s="407" t="str">
        <f t="shared" si="97"/>
        <v xml:space="preserve"> </v>
      </c>
      <c r="DW50" s="407" t="str">
        <f t="shared" si="97"/>
        <v xml:space="preserve"> </v>
      </c>
      <c r="DX50" s="407" t="str">
        <f t="shared" si="97"/>
        <v xml:space="preserve"> </v>
      </c>
      <c r="DY50" s="407" t="str">
        <f t="shared" si="97"/>
        <v xml:space="preserve"> </v>
      </c>
      <c r="DZ50" s="407" t="str">
        <f t="shared" si="97"/>
        <v xml:space="preserve"> </v>
      </c>
      <c r="EA50" s="407" t="str">
        <f t="shared" si="97"/>
        <v xml:space="preserve"> </v>
      </c>
      <c r="EB50" s="407" t="str">
        <f t="shared" si="97"/>
        <v xml:space="preserve"> </v>
      </c>
      <c r="EC50" s="407" t="str">
        <f t="shared" si="97"/>
        <v xml:space="preserve"> </v>
      </c>
      <c r="ED50" s="407" t="str">
        <f t="shared" si="97"/>
        <v xml:space="preserve"> </v>
      </c>
      <c r="EE50" s="407" t="str">
        <f t="shared" si="97"/>
        <v xml:space="preserve"> </v>
      </c>
    </row>
    <row r="51" spans="1:135" s="408" customFormat="1" x14ac:dyDescent="0.25">
      <c r="A51" s="390"/>
      <c r="B51" s="391" t="str">
        <f t="shared" si="86"/>
        <v>-</v>
      </c>
      <c r="C51" s="393"/>
      <c r="D51" s="393"/>
      <c r="E51" s="394"/>
      <c r="F51" s="409"/>
      <c r="G51" s="410"/>
      <c r="H51" s="410"/>
      <c r="I51" s="410"/>
      <c r="J51" s="411"/>
      <c r="K51" s="412"/>
      <c r="L51" s="413"/>
      <c r="M51" s="411"/>
      <c r="N51" s="414"/>
      <c r="O51" s="415"/>
      <c r="P51" s="401"/>
      <c r="Q51" s="402" t="str">
        <f t="shared" si="78"/>
        <v xml:space="preserve"> - </v>
      </c>
      <c r="R51" s="402" t="str">
        <f t="shared" si="87"/>
        <v xml:space="preserve"> - </v>
      </c>
      <c r="S51" s="403" t="str">
        <f t="shared" si="88"/>
        <v xml:space="preserve"> - </v>
      </c>
      <c r="T51" s="403" t="str">
        <f t="shared" si="36"/>
        <v xml:space="preserve"> - </v>
      </c>
      <c r="U51" s="404"/>
      <c r="V51" s="404"/>
      <c r="W51" s="405"/>
      <c r="X51" s="406" t="str">
        <f t="shared" ref="X51:AM59" si="98">" "</f>
        <v xml:space="preserve"> </v>
      </c>
      <c r="Y51" s="406" t="str">
        <f t="shared" si="98"/>
        <v xml:space="preserve"> </v>
      </c>
      <c r="Z51" s="406" t="str">
        <f t="shared" si="98"/>
        <v xml:space="preserve"> </v>
      </c>
      <c r="AA51" s="406" t="str">
        <f t="shared" si="98"/>
        <v xml:space="preserve"> </v>
      </c>
      <c r="AB51" s="406" t="str">
        <f t="shared" si="98"/>
        <v xml:space="preserve"> </v>
      </c>
      <c r="AC51" s="406" t="str">
        <f t="shared" si="98"/>
        <v xml:space="preserve"> </v>
      </c>
      <c r="AD51" s="406" t="str">
        <f t="shared" si="98"/>
        <v xml:space="preserve"> </v>
      </c>
      <c r="AE51" s="406" t="str">
        <f t="shared" si="98"/>
        <v xml:space="preserve"> </v>
      </c>
      <c r="AF51" s="406" t="str">
        <f t="shared" si="98"/>
        <v xml:space="preserve"> </v>
      </c>
      <c r="AG51" s="406" t="str">
        <f t="shared" si="98"/>
        <v xml:space="preserve"> </v>
      </c>
      <c r="AH51" s="406" t="str">
        <f t="shared" si="98"/>
        <v xml:space="preserve"> </v>
      </c>
      <c r="AI51" s="406" t="str">
        <f t="shared" si="98"/>
        <v xml:space="preserve"> </v>
      </c>
      <c r="AJ51" s="406" t="str">
        <f t="shared" si="98"/>
        <v xml:space="preserve"> </v>
      </c>
      <c r="AK51" s="406" t="str">
        <f t="shared" si="98"/>
        <v xml:space="preserve"> </v>
      </c>
      <c r="AL51" s="406" t="str">
        <f t="shared" si="98"/>
        <v xml:space="preserve"> </v>
      </c>
      <c r="AM51" s="406" t="str">
        <f t="shared" si="98"/>
        <v xml:space="preserve"> </v>
      </c>
      <c r="AN51" s="406" t="str">
        <f t="shared" si="90"/>
        <v xml:space="preserve"> </v>
      </c>
      <c r="AO51" s="406" t="str">
        <f t="shared" si="90"/>
        <v xml:space="preserve"> </v>
      </c>
      <c r="AP51" s="406" t="str">
        <f t="shared" si="90"/>
        <v xml:space="preserve"> </v>
      </c>
      <c r="AQ51" s="406" t="str">
        <f t="shared" si="90"/>
        <v xml:space="preserve"> </v>
      </c>
      <c r="AR51" s="406" t="str">
        <f t="shared" si="90"/>
        <v xml:space="preserve"> </v>
      </c>
      <c r="AS51" s="406" t="str">
        <f t="shared" si="90"/>
        <v xml:space="preserve"> </v>
      </c>
      <c r="AT51" s="406" t="str">
        <f t="shared" si="90"/>
        <v xml:space="preserve"> </v>
      </c>
      <c r="AU51" s="406" t="str">
        <f t="shared" si="90"/>
        <v xml:space="preserve"> </v>
      </c>
      <c r="AV51" s="406" t="str">
        <f t="shared" si="90"/>
        <v xml:space="preserve"> </v>
      </c>
      <c r="AW51" s="406" t="str">
        <f t="shared" si="90"/>
        <v xml:space="preserve"> </v>
      </c>
      <c r="AX51" s="406" t="str">
        <f t="shared" si="90"/>
        <v xml:space="preserve"> </v>
      </c>
      <c r="AY51" s="406" t="str">
        <f t="shared" si="90"/>
        <v xml:space="preserve"> </v>
      </c>
      <c r="AZ51" s="406" t="str">
        <f t="shared" si="90"/>
        <v xml:space="preserve"> </v>
      </c>
      <c r="BA51" s="406" t="str">
        <f t="shared" si="90"/>
        <v xml:space="preserve"> </v>
      </c>
      <c r="BB51" s="406" t="str">
        <f t="shared" si="91"/>
        <v xml:space="preserve"> </v>
      </c>
      <c r="BC51" s="406" t="str">
        <f t="shared" si="91"/>
        <v xml:space="preserve"> </v>
      </c>
      <c r="BD51" s="406" t="str">
        <f t="shared" si="91"/>
        <v xml:space="preserve"> </v>
      </c>
      <c r="BE51" s="406" t="str">
        <f t="shared" si="91"/>
        <v xml:space="preserve"> </v>
      </c>
      <c r="BF51" s="406" t="str">
        <f t="shared" si="91"/>
        <v xml:space="preserve"> </v>
      </c>
      <c r="BG51" s="406" t="str">
        <f t="shared" si="91"/>
        <v xml:space="preserve"> </v>
      </c>
      <c r="BH51" s="406" t="str">
        <f t="shared" si="91"/>
        <v xml:space="preserve"> </v>
      </c>
      <c r="BI51" s="406" t="str">
        <f t="shared" si="91"/>
        <v xml:space="preserve"> </v>
      </c>
      <c r="BJ51" s="406" t="str">
        <f t="shared" si="91"/>
        <v xml:space="preserve"> </v>
      </c>
      <c r="BK51" s="406" t="str">
        <f t="shared" si="91"/>
        <v xml:space="preserve"> </v>
      </c>
      <c r="BL51" s="406" t="str">
        <f t="shared" si="91"/>
        <v xml:space="preserve"> </v>
      </c>
      <c r="BM51" s="406" t="str">
        <f t="shared" si="91"/>
        <v xml:space="preserve"> </v>
      </c>
      <c r="BN51" s="406" t="str">
        <f t="shared" si="91"/>
        <v xml:space="preserve"> </v>
      </c>
      <c r="BO51" s="406" t="str">
        <f t="shared" si="91"/>
        <v xml:space="preserve"> </v>
      </c>
      <c r="BP51" s="406" t="str">
        <f t="shared" si="91"/>
        <v xml:space="preserve"> </v>
      </c>
      <c r="BQ51" s="406" t="str">
        <f t="shared" si="91"/>
        <v xml:space="preserve"> </v>
      </c>
      <c r="BR51" s="406" t="str">
        <f t="shared" ref="BR51:CG59" si="99">" "</f>
        <v xml:space="preserve"> </v>
      </c>
      <c r="BS51" s="406" t="str">
        <f t="shared" si="99"/>
        <v xml:space="preserve"> </v>
      </c>
      <c r="BT51" s="406" t="str">
        <f t="shared" si="99"/>
        <v xml:space="preserve"> </v>
      </c>
      <c r="BU51" s="406" t="str">
        <f t="shared" si="99"/>
        <v xml:space="preserve"> </v>
      </c>
      <c r="BV51" s="406" t="str">
        <f t="shared" si="99"/>
        <v xml:space="preserve"> </v>
      </c>
      <c r="BW51" s="406" t="str">
        <f t="shared" si="99"/>
        <v xml:space="preserve"> </v>
      </c>
      <c r="BX51" s="406" t="str">
        <f t="shared" si="99"/>
        <v xml:space="preserve"> </v>
      </c>
      <c r="BY51" s="406" t="str">
        <f t="shared" si="99"/>
        <v xml:space="preserve"> </v>
      </c>
      <c r="BZ51" s="406" t="str">
        <f t="shared" si="99"/>
        <v xml:space="preserve"> </v>
      </c>
      <c r="CA51" s="406" t="str">
        <f t="shared" si="99"/>
        <v xml:space="preserve"> </v>
      </c>
      <c r="CB51" s="407" t="str">
        <f t="shared" si="99"/>
        <v xml:space="preserve"> </v>
      </c>
      <c r="CC51" s="407" t="str">
        <f t="shared" si="99"/>
        <v xml:space="preserve"> </v>
      </c>
      <c r="CD51" s="407" t="str">
        <f t="shared" si="99"/>
        <v xml:space="preserve"> </v>
      </c>
      <c r="CE51" s="407" t="str">
        <f t="shared" si="99"/>
        <v xml:space="preserve"> </v>
      </c>
      <c r="CF51" s="407" t="str">
        <f t="shared" si="99"/>
        <v xml:space="preserve"> </v>
      </c>
      <c r="CG51" s="407" t="str">
        <f t="shared" si="99"/>
        <v xml:space="preserve"> </v>
      </c>
      <c r="CH51" s="407" t="str">
        <f t="shared" ref="CH51:CH59" si="100">" "</f>
        <v xml:space="preserve"> </v>
      </c>
      <c r="CI51" s="407" t="str">
        <f t="shared" si="94"/>
        <v xml:space="preserve"> </v>
      </c>
      <c r="CJ51" s="407" t="str">
        <f t="shared" si="94"/>
        <v xml:space="preserve"> </v>
      </c>
      <c r="CK51" s="407" t="str">
        <f t="shared" si="94"/>
        <v xml:space="preserve"> </v>
      </c>
      <c r="CL51" s="407" t="str">
        <f t="shared" si="94"/>
        <v xml:space="preserve"> </v>
      </c>
      <c r="CM51" s="407" t="str">
        <f t="shared" si="94"/>
        <v xml:space="preserve"> </v>
      </c>
      <c r="CN51" s="407" t="str">
        <f t="shared" si="94"/>
        <v xml:space="preserve"> </v>
      </c>
      <c r="CO51" s="407" t="str">
        <f t="shared" si="94"/>
        <v xml:space="preserve"> </v>
      </c>
      <c r="CP51" s="407" t="str">
        <f t="shared" si="94"/>
        <v xml:space="preserve"> </v>
      </c>
      <c r="CQ51" s="407" t="str">
        <f t="shared" si="94"/>
        <v xml:space="preserve"> </v>
      </c>
      <c r="CR51" s="407" t="str">
        <f t="shared" si="94"/>
        <v xml:space="preserve"> </v>
      </c>
      <c r="CS51" s="407" t="str">
        <f t="shared" si="94"/>
        <v xml:space="preserve"> </v>
      </c>
      <c r="CT51" s="407" t="str">
        <f t="shared" si="94"/>
        <v xml:space="preserve"> </v>
      </c>
      <c r="CU51" s="407" t="str">
        <f t="shared" si="94"/>
        <v xml:space="preserve"> </v>
      </c>
      <c r="CV51" s="407" t="str">
        <f t="shared" si="94"/>
        <v xml:space="preserve"> </v>
      </c>
      <c r="CW51" s="407" t="str">
        <f t="shared" si="94"/>
        <v xml:space="preserve"> </v>
      </c>
      <c r="CX51" s="407" t="str">
        <f t="shared" si="94"/>
        <v xml:space="preserve"> </v>
      </c>
      <c r="CY51" s="407" t="str">
        <f t="shared" ref="CY51:DF59" si="101">" "</f>
        <v xml:space="preserve"> </v>
      </c>
      <c r="CZ51" s="407" t="str">
        <f t="shared" si="101"/>
        <v xml:space="preserve"> </v>
      </c>
      <c r="DA51" s="407" t="str">
        <f t="shared" si="101"/>
        <v xml:space="preserve"> </v>
      </c>
      <c r="DB51" s="407" t="str">
        <f t="shared" si="101"/>
        <v xml:space="preserve"> </v>
      </c>
      <c r="DC51" s="407" t="str">
        <f t="shared" si="101"/>
        <v xml:space="preserve"> </v>
      </c>
      <c r="DD51" s="407" t="str">
        <f t="shared" si="101"/>
        <v xml:space="preserve"> </v>
      </c>
      <c r="DE51" s="407" t="str">
        <f t="shared" si="101"/>
        <v xml:space="preserve"> </v>
      </c>
      <c r="DF51" s="407" t="str">
        <f t="shared" si="101"/>
        <v xml:space="preserve"> </v>
      </c>
      <c r="DG51" s="407" t="str">
        <f t="shared" si="96"/>
        <v xml:space="preserve"> </v>
      </c>
      <c r="DH51" s="407" t="str">
        <f t="shared" si="96"/>
        <v xml:space="preserve"> </v>
      </c>
      <c r="DI51" s="407" t="str">
        <f t="shared" si="96"/>
        <v xml:space="preserve"> </v>
      </c>
      <c r="DJ51" s="407" t="str">
        <f t="shared" si="96"/>
        <v xml:space="preserve"> </v>
      </c>
      <c r="DK51" s="407" t="str">
        <f t="shared" si="96"/>
        <v xml:space="preserve"> </v>
      </c>
      <c r="DL51" s="407" t="str">
        <f t="shared" si="96"/>
        <v xml:space="preserve"> </v>
      </c>
      <c r="DM51" s="407" t="str">
        <f t="shared" si="96"/>
        <v xml:space="preserve"> </v>
      </c>
      <c r="DN51" s="407" t="str">
        <f t="shared" si="96"/>
        <v xml:space="preserve"> </v>
      </c>
      <c r="DO51" s="407" t="str">
        <f t="shared" si="96"/>
        <v xml:space="preserve"> </v>
      </c>
      <c r="DP51" s="407" t="str">
        <f t="shared" si="96"/>
        <v xml:space="preserve"> </v>
      </c>
      <c r="DQ51" s="407" t="str">
        <f t="shared" si="97"/>
        <v xml:space="preserve"> </v>
      </c>
      <c r="DR51" s="407" t="str">
        <f t="shared" si="97"/>
        <v xml:space="preserve"> </v>
      </c>
      <c r="DS51" s="407" t="str">
        <f t="shared" si="97"/>
        <v xml:space="preserve"> </v>
      </c>
      <c r="DT51" s="407" t="str">
        <f t="shared" si="97"/>
        <v xml:space="preserve"> </v>
      </c>
      <c r="DU51" s="407" t="str">
        <f t="shared" si="97"/>
        <v xml:space="preserve"> </v>
      </c>
      <c r="DV51" s="407" t="str">
        <f t="shared" si="97"/>
        <v xml:space="preserve"> </v>
      </c>
      <c r="DW51" s="407" t="str">
        <f t="shared" si="97"/>
        <v xml:space="preserve"> </v>
      </c>
      <c r="DX51" s="407" t="str">
        <f t="shared" si="97"/>
        <v xml:space="preserve"> </v>
      </c>
      <c r="DY51" s="407" t="str">
        <f t="shared" si="97"/>
        <v xml:space="preserve"> </v>
      </c>
      <c r="DZ51" s="407" t="str">
        <f t="shared" si="97"/>
        <v xml:space="preserve"> </v>
      </c>
      <c r="EA51" s="407" t="str">
        <f t="shared" si="97"/>
        <v xml:space="preserve"> </v>
      </c>
      <c r="EB51" s="407" t="str">
        <f t="shared" si="97"/>
        <v xml:space="preserve"> </v>
      </c>
      <c r="EC51" s="407" t="str">
        <f t="shared" si="97"/>
        <v xml:space="preserve"> </v>
      </c>
      <c r="ED51" s="407" t="str">
        <f t="shared" si="97"/>
        <v xml:space="preserve"> </v>
      </c>
      <c r="EE51" s="407" t="str">
        <f t="shared" si="97"/>
        <v xml:space="preserve"> </v>
      </c>
    </row>
    <row r="52" spans="1:135" s="408" customFormat="1" x14ac:dyDescent="0.25">
      <c r="A52" s="390"/>
      <c r="B52" s="391" t="str">
        <f t="shared" si="86"/>
        <v>-</v>
      </c>
      <c r="C52" s="393"/>
      <c r="D52" s="393"/>
      <c r="E52" s="394"/>
      <c r="F52" s="409"/>
      <c r="G52" s="410"/>
      <c r="H52" s="410"/>
      <c r="I52" s="410"/>
      <c r="J52" s="411"/>
      <c r="K52" s="412"/>
      <c r="L52" s="413"/>
      <c r="M52" s="411"/>
      <c r="N52" s="414"/>
      <c r="O52" s="415"/>
      <c r="P52" s="401"/>
      <c r="Q52" s="402" t="str">
        <f t="shared" si="78"/>
        <v xml:space="preserve"> - </v>
      </c>
      <c r="R52" s="402" t="str">
        <f t="shared" ref="R52:R59" si="102">IF(Q52=" - "," - ",MAX(M52,IF(L52&lt;&gt;"",Q52+MAX(0,L52-1),WORKDAY.INTL(IF(NETWORKDAYS.INTL(Q52,Q52,weekend,holidays)=0,WORKDAY.INTL(Q52,1,weekend,holidays),Q52),MAX(0,K52-1),weekend,holidays))))</f>
        <v xml:space="preserve"> - </v>
      </c>
      <c r="S52" s="403" t="str">
        <f t="shared" ref="S52:S59" si="103">IF(OR(NOT(ISNUMBER(Q52)),NOT(ISNUMBER(R52)))," - ",NETWORKDAYS.INTL(Q52,R52,weekend,holidays))</f>
        <v xml:space="preserve"> - </v>
      </c>
      <c r="T52" s="403" t="str">
        <f t="shared" si="36"/>
        <v xml:space="preserve"> - </v>
      </c>
      <c r="U52" s="404"/>
      <c r="V52" s="404"/>
      <c r="W52" s="405"/>
      <c r="X52" s="406" t="str">
        <f t="shared" si="98"/>
        <v xml:space="preserve"> </v>
      </c>
      <c r="Y52" s="406" t="str">
        <f t="shared" si="98"/>
        <v xml:space="preserve"> </v>
      </c>
      <c r="Z52" s="406" t="str">
        <f t="shared" si="98"/>
        <v xml:space="preserve"> </v>
      </c>
      <c r="AA52" s="406" t="str">
        <f t="shared" si="98"/>
        <v xml:space="preserve"> </v>
      </c>
      <c r="AB52" s="406" t="str">
        <f t="shared" si="98"/>
        <v xml:space="preserve"> </v>
      </c>
      <c r="AC52" s="406" t="str">
        <f t="shared" si="98"/>
        <v xml:space="preserve"> </v>
      </c>
      <c r="AD52" s="406" t="str">
        <f t="shared" si="98"/>
        <v xml:space="preserve"> </v>
      </c>
      <c r="AE52" s="406" t="str">
        <f t="shared" si="98"/>
        <v xml:space="preserve"> </v>
      </c>
      <c r="AF52" s="406" t="str">
        <f t="shared" si="98"/>
        <v xml:space="preserve"> </v>
      </c>
      <c r="AG52" s="406" t="str">
        <f t="shared" si="98"/>
        <v xml:space="preserve"> </v>
      </c>
      <c r="AH52" s="406" t="str">
        <f t="shared" si="98"/>
        <v xml:space="preserve"> </v>
      </c>
      <c r="AI52" s="406" t="str">
        <f t="shared" si="98"/>
        <v xml:space="preserve"> </v>
      </c>
      <c r="AJ52" s="406" t="str">
        <f t="shared" si="98"/>
        <v xml:space="preserve"> </v>
      </c>
      <c r="AK52" s="406" t="str">
        <f t="shared" si="98"/>
        <v xml:space="preserve"> </v>
      </c>
      <c r="AL52" s="406" t="str">
        <f t="shared" si="98"/>
        <v xml:space="preserve"> </v>
      </c>
      <c r="AM52" s="406" t="str">
        <f t="shared" si="98"/>
        <v xml:space="preserve"> </v>
      </c>
      <c r="AN52" s="406" t="str">
        <f t="shared" si="90"/>
        <v xml:space="preserve"> </v>
      </c>
      <c r="AO52" s="406" t="str">
        <f t="shared" si="90"/>
        <v xml:space="preserve"> </v>
      </c>
      <c r="AP52" s="406" t="str">
        <f t="shared" si="90"/>
        <v xml:space="preserve"> </v>
      </c>
      <c r="AQ52" s="406" t="str">
        <f t="shared" si="90"/>
        <v xml:space="preserve"> </v>
      </c>
      <c r="AR52" s="406" t="str">
        <f t="shared" si="90"/>
        <v xml:space="preserve"> </v>
      </c>
      <c r="AS52" s="406" t="str">
        <f t="shared" si="90"/>
        <v xml:space="preserve"> </v>
      </c>
      <c r="AT52" s="406" t="str">
        <f t="shared" si="90"/>
        <v xml:space="preserve"> </v>
      </c>
      <c r="AU52" s="406" t="str">
        <f t="shared" si="90"/>
        <v xml:space="preserve"> </v>
      </c>
      <c r="AV52" s="406" t="str">
        <f t="shared" si="90"/>
        <v xml:space="preserve"> </v>
      </c>
      <c r="AW52" s="406" t="str">
        <f t="shared" si="90"/>
        <v xml:space="preserve"> </v>
      </c>
      <c r="AX52" s="406" t="str">
        <f t="shared" si="90"/>
        <v xml:space="preserve"> </v>
      </c>
      <c r="AY52" s="406" t="str">
        <f t="shared" si="90"/>
        <v xml:space="preserve"> </v>
      </c>
      <c r="AZ52" s="406" t="str">
        <f t="shared" si="90"/>
        <v xml:space="preserve"> </v>
      </c>
      <c r="BA52" s="406" t="str">
        <f t="shared" si="90"/>
        <v xml:space="preserve"> </v>
      </c>
      <c r="BB52" s="406" t="str">
        <f t="shared" si="91"/>
        <v xml:space="preserve"> </v>
      </c>
      <c r="BC52" s="406" t="str">
        <f t="shared" si="91"/>
        <v xml:space="preserve"> </v>
      </c>
      <c r="BD52" s="406" t="str">
        <f t="shared" si="91"/>
        <v xml:space="preserve"> </v>
      </c>
      <c r="BE52" s="406" t="str">
        <f t="shared" si="91"/>
        <v xml:space="preserve"> </v>
      </c>
      <c r="BF52" s="406" t="str">
        <f t="shared" si="91"/>
        <v xml:space="preserve"> </v>
      </c>
      <c r="BG52" s="406" t="str">
        <f t="shared" si="91"/>
        <v xml:space="preserve"> </v>
      </c>
      <c r="BH52" s="406" t="str">
        <f t="shared" si="91"/>
        <v xml:space="preserve"> </v>
      </c>
      <c r="BI52" s="406" t="str">
        <f t="shared" si="91"/>
        <v xml:space="preserve"> </v>
      </c>
      <c r="BJ52" s="406" t="str">
        <f t="shared" si="91"/>
        <v xml:space="preserve"> </v>
      </c>
      <c r="BK52" s="406" t="str">
        <f t="shared" si="91"/>
        <v xml:space="preserve"> </v>
      </c>
      <c r="BL52" s="406" t="str">
        <f t="shared" si="91"/>
        <v xml:space="preserve"> </v>
      </c>
      <c r="BM52" s="406" t="str">
        <f t="shared" si="91"/>
        <v xml:space="preserve"> </v>
      </c>
      <c r="BN52" s="406" t="str">
        <f t="shared" si="91"/>
        <v xml:space="preserve"> </v>
      </c>
      <c r="BO52" s="406" t="str">
        <f t="shared" si="91"/>
        <v xml:space="preserve"> </v>
      </c>
      <c r="BP52" s="406" t="str">
        <f t="shared" si="91"/>
        <v xml:space="preserve"> </v>
      </c>
      <c r="BQ52" s="406" t="str">
        <f t="shared" si="91"/>
        <v xml:space="preserve"> </v>
      </c>
      <c r="BR52" s="406" t="str">
        <f t="shared" si="99"/>
        <v xml:space="preserve"> </v>
      </c>
      <c r="BS52" s="406" t="str">
        <f t="shared" si="99"/>
        <v xml:space="preserve"> </v>
      </c>
      <c r="BT52" s="406" t="str">
        <f t="shared" si="99"/>
        <v xml:space="preserve"> </v>
      </c>
      <c r="BU52" s="406" t="str">
        <f t="shared" si="99"/>
        <v xml:space="preserve"> </v>
      </c>
      <c r="BV52" s="406" t="str">
        <f t="shared" si="99"/>
        <v xml:space="preserve"> </v>
      </c>
      <c r="BW52" s="406" t="str">
        <f t="shared" si="99"/>
        <v xml:space="preserve"> </v>
      </c>
      <c r="BX52" s="406" t="str">
        <f t="shared" si="99"/>
        <v xml:space="preserve"> </v>
      </c>
      <c r="BY52" s="406" t="str">
        <f t="shared" si="99"/>
        <v xml:space="preserve"> </v>
      </c>
      <c r="BZ52" s="406" t="str">
        <f t="shared" si="99"/>
        <v xml:space="preserve"> </v>
      </c>
      <c r="CA52" s="406" t="str">
        <f t="shared" si="99"/>
        <v xml:space="preserve"> </v>
      </c>
      <c r="CB52" s="407" t="str">
        <f t="shared" si="99"/>
        <v xml:space="preserve"> </v>
      </c>
      <c r="CC52" s="407" t="str">
        <f t="shared" si="99"/>
        <v xml:space="preserve"> </v>
      </c>
      <c r="CD52" s="407" t="str">
        <f t="shared" si="99"/>
        <v xml:space="preserve"> </v>
      </c>
      <c r="CE52" s="407" t="str">
        <f t="shared" si="99"/>
        <v xml:space="preserve"> </v>
      </c>
      <c r="CF52" s="407" t="str">
        <f t="shared" si="99"/>
        <v xml:space="preserve"> </v>
      </c>
      <c r="CG52" s="407" t="str">
        <f t="shared" si="99"/>
        <v xml:space="preserve"> </v>
      </c>
      <c r="CH52" s="407" t="str">
        <f t="shared" si="100"/>
        <v xml:space="preserve"> </v>
      </c>
      <c r="CI52" s="407" t="str">
        <f t="shared" si="94"/>
        <v xml:space="preserve"> </v>
      </c>
      <c r="CJ52" s="407" t="str">
        <f t="shared" si="94"/>
        <v xml:space="preserve"> </v>
      </c>
      <c r="CK52" s="407" t="str">
        <f t="shared" si="94"/>
        <v xml:space="preserve"> </v>
      </c>
      <c r="CL52" s="407" t="str">
        <f t="shared" si="94"/>
        <v xml:space="preserve"> </v>
      </c>
      <c r="CM52" s="407" t="str">
        <f t="shared" si="94"/>
        <v xml:space="preserve"> </v>
      </c>
      <c r="CN52" s="407" t="str">
        <f t="shared" si="94"/>
        <v xml:space="preserve"> </v>
      </c>
      <c r="CO52" s="407" t="str">
        <f t="shared" si="94"/>
        <v xml:space="preserve"> </v>
      </c>
      <c r="CP52" s="407" t="str">
        <f t="shared" si="94"/>
        <v xml:space="preserve"> </v>
      </c>
      <c r="CQ52" s="407" t="str">
        <f t="shared" si="94"/>
        <v xml:space="preserve"> </v>
      </c>
      <c r="CR52" s="407" t="str">
        <f t="shared" si="94"/>
        <v xml:space="preserve"> </v>
      </c>
      <c r="CS52" s="407" t="str">
        <f t="shared" si="94"/>
        <v xml:space="preserve"> </v>
      </c>
      <c r="CT52" s="407" t="str">
        <f t="shared" si="94"/>
        <v xml:space="preserve"> </v>
      </c>
      <c r="CU52" s="407" t="str">
        <f t="shared" si="94"/>
        <v xml:space="preserve"> </v>
      </c>
      <c r="CV52" s="407" t="str">
        <f t="shared" si="94"/>
        <v xml:space="preserve"> </v>
      </c>
      <c r="CW52" s="407" t="str">
        <f t="shared" si="94"/>
        <v xml:space="preserve"> </v>
      </c>
      <c r="CX52" s="407" t="str">
        <f t="shared" si="94"/>
        <v xml:space="preserve"> </v>
      </c>
      <c r="CY52" s="407" t="str">
        <f t="shared" si="101"/>
        <v xml:space="preserve"> </v>
      </c>
      <c r="CZ52" s="407" t="str">
        <f t="shared" si="101"/>
        <v xml:space="preserve"> </v>
      </c>
      <c r="DA52" s="407" t="str">
        <f t="shared" si="101"/>
        <v xml:space="preserve"> </v>
      </c>
      <c r="DB52" s="407" t="str">
        <f t="shared" si="101"/>
        <v xml:space="preserve"> </v>
      </c>
      <c r="DC52" s="407" t="str">
        <f t="shared" si="101"/>
        <v xml:space="preserve"> </v>
      </c>
      <c r="DD52" s="407" t="str">
        <f t="shared" si="101"/>
        <v xml:space="preserve"> </v>
      </c>
      <c r="DE52" s="407" t="str">
        <f t="shared" si="101"/>
        <v xml:space="preserve"> </v>
      </c>
      <c r="DF52" s="407" t="str">
        <f t="shared" si="101"/>
        <v xml:space="preserve"> </v>
      </c>
      <c r="DG52" s="407" t="str">
        <f t="shared" si="96"/>
        <v xml:space="preserve"> </v>
      </c>
      <c r="DH52" s="407" t="str">
        <f t="shared" si="96"/>
        <v xml:space="preserve"> </v>
      </c>
      <c r="DI52" s="407" t="str">
        <f t="shared" si="96"/>
        <v xml:space="preserve"> </v>
      </c>
      <c r="DJ52" s="407" t="str">
        <f t="shared" si="96"/>
        <v xml:space="preserve"> </v>
      </c>
      <c r="DK52" s="407" t="str">
        <f t="shared" si="96"/>
        <v xml:space="preserve"> </v>
      </c>
      <c r="DL52" s="407" t="str">
        <f t="shared" si="96"/>
        <v xml:space="preserve"> </v>
      </c>
      <c r="DM52" s="407" t="str">
        <f t="shared" si="96"/>
        <v xml:space="preserve"> </v>
      </c>
      <c r="DN52" s="407" t="str">
        <f t="shared" si="96"/>
        <v xml:space="preserve"> </v>
      </c>
      <c r="DO52" s="407" t="str">
        <f t="shared" si="96"/>
        <v xml:space="preserve"> </v>
      </c>
      <c r="DP52" s="407" t="str">
        <f t="shared" si="96"/>
        <v xml:space="preserve"> </v>
      </c>
      <c r="DQ52" s="407" t="str">
        <f t="shared" si="97"/>
        <v xml:space="preserve"> </v>
      </c>
      <c r="DR52" s="407" t="str">
        <f t="shared" si="97"/>
        <v xml:space="preserve"> </v>
      </c>
      <c r="DS52" s="407" t="str">
        <f t="shared" si="97"/>
        <v xml:space="preserve"> </v>
      </c>
      <c r="DT52" s="407" t="str">
        <f t="shared" si="97"/>
        <v xml:space="preserve"> </v>
      </c>
      <c r="DU52" s="407" t="str">
        <f t="shared" si="97"/>
        <v xml:space="preserve"> </v>
      </c>
      <c r="DV52" s="407" t="str">
        <f t="shared" si="97"/>
        <v xml:space="preserve"> </v>
      </c>
      <c r="DW52" s="407" t="str">
        <f t="shared" si="97"/>
        <v xml:space="preserve"> </v>
      </c>
      <c r="DX52" s="407" t="str">
        <f t="shared" si="97"/>
        <v xml:space="preserve"> </v>
      </c>
      <c r="DY52" s="407" t="str">
        <f t="shared" si="97"/>
        <v xml:space="preserve"> </v>
      </c>
      <c r="DZ52" s="407" t="str">
        <f t="shared" si="97"/>
        <v xml:space="preserve"> </v>
      </c>
      <c r="EA52" s="407" t="str">
        <f t="shared" si="97"/>
        <v xml:space="preserve"> </v>
      </c>
      <c r="EB52" s="407" t="str">
        <f t="shared" si="97"/>
        <v xml:space="preserve"> </v>
      </c>
      <c r="EC52" s="407" t="str">
        <f t="shared" si="97"/>
        <v xml:space="preserve"> </v>
      </c>
      <c r="ED52" s="407" t="str">
        <f t="shared" si="97"/>
        <v xml:space="preserve"> </v>
      </c>
      <c r="EE52" s="407" t="str">
        <f t="shared" si="97"/>
        <v xml:space="preserve"> </v>
      </c>
    </row>
    <row r="53" spans="1:135" s="408" customFormat="1" x14ac:dyDescent="0.25">
      <c r="A53" s="390"/>
      <c r="B53" s="391" t="str">
        <f t="shared" si="86"/>
        <v>-</v>
      </c>
      <c r="C53" s="393"/>
      <c r="D53" s="393"/>
      <c r="E53" s="394"/>
      <c r="F53" s="409"/>
      <c r="G53" s="410"/>
      <c r="H53" s="410"/>
      <c r="I53" s="410"/>
      <c r="J53" s="411"/>
      <c r="K53" s="412"/>
      <c r="L53" s="413"/>
      <c r="M53" s="411"/>
      <c r="N53" s="414"/>
      <c r="O53" s="415"/>
      <c r="P53" s="401"/>
      <c r="Q53" s="402" t="str">
        <f t="shared" si="78"/>
        <v xml:space="preserve"> - </v>
      </c>
      <c r="R53" s="402" t="str">
        <f t="shared" si="102"/>
        <v xml:space="preserve"> - </v>
      </c>
      <c r="S53" s="403" t="str">
        <f t="shared" si="103"/>
        <v xml:space="preserve"> - </v>
      </c>
      <c r="T53" s="403" t="str">
        <f t="shared" si="36"/>
        <v xml:space="preserve"> - </v>
      </c>
      <c r="U53" s="404"/>
      <c r="V53" s="404"/>
      <c r="W53" s="405"/>
      <c r="X53" s="406" t="str">
        <f t="shared" si="98"/>
        <v xml:space="preserve"> </v>
      </c>
      <c r="Y53" s="406" t="str">
        <f t="shared" si="98"/>
        <v xml:space="preserve"> </v>
      </c>
      <c r="Z53" s="406" t="str">
        <f t="shared" si="98"/>
        <v xml:space="preserve"> </v>
      </c>
      <c r="AA53" s="406" t="str">
        <f t="shared" si="98"/>
        <v xml:space="preserve"> </v>
      </c>
      <c r="AB53" s="406" t="str">
        <f t="shared" si="98"/>
        <v xml:space="preserve"> </v>
      </c>
      <c r="AC53" s="406" t="str">
        <f t="shared" si="98"/>
        <v xml:space="preserve"> </v>
      </c>
      <c r="AD53" s="406" t="str">
        <f t="shared" si="98"/>
        <v xml:space="preserve"> </v>
      </c>
      <c r="AE53" s="406" t="str">
        <f t="shared" si="98"/>
        <v xml:space="preserve"> </v>
      </c>
      <c r="AF53" s="406" t="str">
        <f t="shared" si="98"/>
        <v xml:space="preserve"> </v>
      </c>
      <c r="AG53" s="406" t="str">
        <f t="shared" si="98"/>
        <v xml:space="preserve"> </v>
      </c>
      <c r="AH53" s="406" t="str">
        <f t="shared" si="98"/>
        <v xml:space="preserve"> </v>
      </c>
      <c r="AI53" s="406" t="str">
        <f t="shared" si="98"/>
        <v xml:space="preserve"> </v>
      </c>
      <c r="AJ53" s="406" t="str">
        <f t="shared" si="98"/>
        <v xml:space="preserve"> </v>
      </c>
      <c r="AK53" s="406" t="str">
        <f t="shared" si="98"/>
        <v xml:space="preserve"> </v>
      </c>
      <c r="AL53" s="406" t="str">
        <f t="shared" si="98"/>
        <v xml:space="preserve"> </v>
      </c>
      <c r="AM53" s="406" t="str">
        <f t="shared" si="98"/>
        <v xml:space="preserve"> </v>
      </c>
      <c r="AN53" s="406" t="str">
        <f t="shared" si="90"/>
        <v xml:space="preserve"> </v>
      </c>
      <c r="AO53" s="406" t="str">
        <f t="shared" si="90"/>
        <v xml:space="preserve"> </v>
      </c>
      <c r="AP53" s="406" t="str">
        <f t="shared" si="90"/>
        <v xml:space="preserve"> </v>
      </c>
      <c r="AQ53" s="406" t="str">
        <f t="shared" si="90"/>
        <v xml:space="preserve"> </v>
      </c>
      <c r="AR53" s="406" t="str">
        <f t="shared" si="90"/>
        <v xml:space="preserve"> </v>
      </c>
      <c r="AS53" s="406" t="str">
        <f t="shared" si="90"/>
        <v xml:space="preserve"> </v>
      </c>
      <c r="AT53" s="406" t="str">
        <f t="shared" si="90"/>
        <v xml:space="preserve"> </v>
      </c>
      <c r="AU53" s="406" t="str">
        <f t="shared" si="90"/>
        <v xml:space="preserve"> </v>
      </c>
      <c r="AV53" s="406" t="str">
        <f t="shared" si="90"/>
        <v xml:space="preserve"> </v>
      </c>
      <c r="AW53" s="406" t="str">
        <f t="shared" si="90"/>
        <v xml:space="preserve"> </v>
      </c>
      <c r="AX53" s="406" t="str">
        <f t="shared" si="90"/>
        <v xml:space="preserve"> </v>
      </c>
      <c r="AY53" s="406" t="str">
        <f t="shared" si="90"/>
        <v xml:space="preserve"> </v>
      </c>
      <c r="AZ53" s="406" t="str">
        <f t="shared" si="90"/>
        <v xml:space="preserve"> </v>
      </c>
      <c r="BA53" s="406" t="str">
        <f t="shared" si="90"/>
        <v xml:space="preserve"> </v>
      </c>
      <c r="BB53" s="406" t="str">
        <f t="shared" si="91"/>
        <v xml:space="preserve"> </v>
      </c>
      <c r="BC53" s="406" t="str">
        <f t="shared" si="91"/>
        <v xml:space="preserve"> </v>
      </c>
      <c r="BD53" s="406" t="str">
        <f t="shared" si="91"/>
        <v xml:space="preserve"> </v>
      </c>
      <c r="BE53" s="406" t="str">
        <f t="shared" si="91"/>
        <v xml:space="preserve"> </v>
      </c>
      <c r="BF53" s="406" t="str">
        <f t="shared" si="91"/>
        <v xml:space="preserve"> </v>
      </c>
      <c r="BG53" s="406" t="str">
        <f t="shared" si="91"/>
        <v xml:space="preserve"> </v>
      </c>
      <c r="BH53" s="406" t="str">
        <f t="shared" si="91"/>
        <v xml:space="preserve"> </v>
      </c>
      <c r="BI53" s="406" t="str">
        <f t="shared" si="91"/>
        <v xml:space="preserve"> </v>
      </c>
      <c r="BJ53" s="406" t="str">
        <f t="shared" si="91"/>
        <v xml:space="preserve"> </v>
      </c>
      <c r="BK53" s="406" t="str">
        <f t="shared" si="91"/>
        <v xml:space="preserve"> </v>
      </c>
      <c r="BL53" s="406" t="str">
        <f t="shared" si="91"/>
        <v xml:space="preserve"> </v>
      </c>
      <c r="BM53" s="406" t="str">
        <f t="shared" si="91"/>
        <v xml:space="preserve"> </v>
      </c>
      <c r="BN53" s="406" t="str">
        <f t="shared" si="91"/>
        <v xml:space="preserve"> </v>
      </c>
      <c r="BO53" s="406" t="str">
        <f t="shared" si="91"/>
        <v xml:space="preserve"> </v>
      </c>
      <c r="BP53" s="406" t="str">
        <f t="shared" si="91"/>
        <v xml:space="preserve"> </v>
      </c>
      <c r="BQ53" s="406" t="str">
        <f t="shared" si="91"/>
        <v xml:space="preserve"> </v>
      </c>
      <c r="BR53" s="406" t="str">
        <f t="shared" si="99"/>
        <v xml:space="preserve"> </v>
      </c>
      <c r="BS53" s="406" t="str">
        <f t="shared" si="99"/>
        <v xml:space="preserve"> </v>
      </c>
      <c r="BT53" s="406" t="str">
        <f t="shared" si="99"/>
        <v xml:space="preserve"> </v>
      </c>
      <c r="BU53" s="406" t="str">
        <f t="shared" si="99"/>
        <v xml:space="preserve"> </v>
      </c>
      <c r="BV53" s="406" t="str">
        <f t="shared" si="99"/>
        <v xml:space="preserve"> </v>
      </c>
      <c r="BW53" s="406" t="str">
        <f t="shared" si="99"/>
        <v xml:space="preserve"> </v>
      </c>
      <c r="BX53" s="406" t="str">
        <f t="shared" si="99"/>
        <v xml:space="preserve"> </v>
      </c>
      <c r="BY53" s="406" t="str">
        <f t="shared" si="99"/>
        <v xml:space="preserve"> </v>
      </c>
      <c r="BZ53" s="406" t="str">
        <f t="shared" si="99"/>
        <v xml:space="preserve"> </v>
      </c>
      <c r="CA53" s="406" t="str">
        <f t="shared" si="99"/>
        <v xml:space="preserve"> </v>
      </c>
      <c r="CB53" s="407" t="str">
        <f t="shared" si="99"/>
        <v xml:space="preserve"> </v>
      </c>
      <c r="CC53" s="407" t="str">
        <f t="shared" si="99"/>
        <v xml:space="preserve"> </v>
      </c>
      <c r="CD53" s="407" t="str">
        <f t="shared" si="99"/>
        <v xml:space="preserve"> </v>
      </c>
      <c r="CE53" s="407" t="str">
        <f t="shared" si="99"/>
        <v xml:space="preserve"> </v>
      </c>
      <c r="CF53" s="407" t="str">
        <f t="shared" si="99"/>
        <v xml:space="preserve"> </v>
      </c>
      <c r="CG53" s="407" t="str">
        <f t="shared" si="99"/>
        <v xml:space="preserve"> </v>
      </c>
      <c r="CH53" s="407" t="str">
        <f t="shared" si="100"/>
        <v xml:space="preserve"> </v>
      </c>
      <c r="CI53" s="407" t="str">
        <f t="shared" si="94"/>
        <v xml:space="preserve"> </v>
      </c>
      <c r="CJ53" s="407" t="str">
        <f t="shared" si="94"/>
        <v xml:space="preserve"> </v>
      </c>
      <c r="CK53" s="407" t="str">
        <f t="shared" si="94"/>
        <v xml:space="preserve"> </v>
      </c>
      <c r="CL53" s="407" t="str">
        <f t="shared" si="94"/>
        <v xml:space="preserve"> </v>
      </c>
      <c r="CM53" s="407" t="str">
        <f t="shared" si="94"/>
        <v xml:space="preserve"> </v>
      </c>
      <c r="CN53" s="407" t="str">
        <f t="shared" si="94"/>
        <v xml:space="preserve"> </v>
      </c>
      <c r="CO53" s="407" t="str">
        <f t="shared" si="94"/>
        <v xml:space="preserve"> </v>
      </c>
      <c r="CP53" s="407" t="str">
        <f t="shared" si="94"/>
        <v xml:space="preserve"> </v>
      </c>
      <c r="CQ53" s="407" t="str">
        <f t="shared" si="94"/>
        <v xml:space="preserve"> </v>
      </c>
      <c r="CR53" s="407" t="str">
        <f t="shared" si="94"/>
        <v xml:space="preserve"> </v>
      </c>
      <c r="CS53" s="407" t="str">
        <f t="shared" si="94"/>
        <v xml:space="preserve"> </v>
      </c>
      <c r="CT53" s="407" t="str">
        <f t="shared" si="94"/>
        <v xml:space="preserve"> </v>
      </c>
      <c r="CU53" s="407" t="str">
        <f t="shared" si="94"/>
        <v xml:space="preserve"> </v>
      </c>
      <c r="CV53" s="407" t="str">
        <f t="shared" si="94"/>
        <v xml:space="preserve"> </v>
      </c>
      <c r="CW53" s="407" t="str">
        <f t="shared" si="94"/>
        <v xml:space="preserve"> </v>
      </c>
      <c r="CX53" s="407" t="str">
        <f t="shared" si="94"/>
        <v xml:space="preserve"> </v>
      </c>
      <c r="CY53" s="407" t="str">
        <f t="shared" si="101"/>
        <v xml:space="preserve"> </v>
      </c>
      <c r="CZ53" s="407" t="str">
        <f t="shared" si="101"/>
        <v xml:space="preserve"> </v>
      </c>
      <c r="DA53" s="407" t="str">
        <f t="shared" si="101"/>
        <v xml:space="preserve"> </v>
      </c>
      <c r="DB53" s="407" t="str">
        <f t="shared" si="101"/>
        <v xml:space="preserve"> </v>
      </c>
      <c r="DC53" s="407" t="str">
        <f t="shared" si="101"/>
        <v xml:space="preserve"> </v>
      </c>
      <c r="DD53" s="407" t="str">
        <f t="shared" si="101"/>
        <v xml:space="preserve"> </v>
      </c>
      <c r="DE53" s="407" t="str">
        <f t="shared" si="101"/>
        <v xml:space="preserve"> </v>
      </c>
      <c r="DF53" s="407" t="str">
        <f t="shared" si="101"/>
        <v xml:space="preserve"> </v>
      </c>
      <c r="DG53" s="407" t="str">
        <f t="shared" si="96"/>
        <v xml:space="preserve"> </v>
      </c>
      <c r="DH53" s="407" t="str">
        <f t="shared" si="96"/>
        <v xml:space="preserve"> </v>
      </c>
      <c r="DI53" s="407" t="str">
        <f t="shared" si="96"/>
        <v xml:space="preserve"> </v>
      </c>
      <c r="DJ53" s="407" t="str">
        <f t="shared" si="96"/>
        <v xml:space="preserve"> </v>
      </c>
      <c r="DK53" s="407" t="str">
        <f t="shared" si="96"/>
        <v xml:space="preserve"> </v>
      </c>
      <c r="DL53" s="407" t="str">
        <f t="shared" si="96"/>
        <v xml:space="preserve"> </v>
      </c>
      <c r="DM53" s="407" t="str">
        <f t="shared" si="96"/>
        <v xml:space="preserve"> </v>
      </c>
      <c r="DN53" s="407" t="str">
        <f t="shared" si="96"/>
        <v xml:space="preserve"> </v>
      </c>
      <c r="DO53" s="407" t="str">
        <f t="shared" si="96"/>
        <v xml:space="preserve"> </v>
      </c>
      <c r="DP53" s="407" t="str">
        <f t="shared" si="96"/>
        <v xml:space="preserve"> </v>
      </c>
      <c r="DQ53" s="407" t="str">
        <f t="shared" si="97"/>
        <v xml:space="preserve"> </v>
      </c>
      <c r="DR53" s="407" t="str">
        <f t="shared" si="97"/>
        <v xml:space="preserve"> </v>
      </c>
      <c r="DS53" s="407" t="str">
        <f t="shared" si="97"/>
        <v xml:space="preserve"> </v>
      </c>
      <c r="DT53" s="407" t="str">
        <f t="shared" si="97"/>
        <v xml:space="preserve"> </v>
      </c>
      <c r="DU53" s="407" t="str">
        <f t="shared" si="97"/>
        <v xml:space="preserve"> </v>
      </c>
      <c r="DV53" s="407" t="str">
        <f t="shared" si="97"/>
        <v xml:space="preserve"> </v>
      </c>
      <c r="DW53" s="407" t="str">
        <f t="shared" si="97"/>
        <v xml:space="preserve"> </v>
      </c>
      <c r="DX53" s="407" t="str">
        <f t="shared" si="97"/>
        <v xml:space="preserve"> </v>
      </c>
      <c r="DY53" s="407" t="str">
        <f t="shared" si="97"/>
        <v xml:space="preserve"> </v>
      </c>
      <c r="DZ53" s="407" t="str">
        <f t="shared" si="97"/>
        <v xml:space="preserve"> </v>
      </c>
      <c r="EA53" s="407" t="str">
        <f t="shared" si="97"/>
        <v xml:space="preserve"> </v>
      </c>
      <c r="EB53" s="407" t="str">
        <f t="shared" si="97"/>
        <v xml:space="preserve"> </v>
      </c>
      <c r="EC53" s="407" t="str">
        <f t="shared" si="97"/>
        <v xml:space="preserve"> </v>
      </c>
      <c r="ED53" s="407" t="str">
        <f t="shared" si="97"/>
        <v xml:space="preserve"> </v>
      </c>
      <c r="EE53" s="407" t="str">
        <f t="shared" si="97"/>
        <v xml:space="preserve"> </v>
      </c>
    </row>
    <row r="54" spans="1:135" s="408" customFormat="1" x14ac:dyDescent="0.25">
      <c r="A54" s="390"/>
      <c r="B54" s="391" t="str">
        <f t="shared" si="86"/>
        <v>-</v>
      </c>
      <c r="C54" s="393"/>
      <c r="D54" s="393"/>
      <c r="E54" s="394"/>
      <c r="F54" s="409"/>
      <c r="G54" s="410"/>
      <c r="H54" s="410"/>
      <c r="I54" s="410"/>
      <c r="J54" s="411"/>
      <c r="K54" s="412"/>
      <c r="L54" s="413"/>
      <c r="M54" s="411"/>
      <c r="N54" s="414"/>
      <c r="O54" s="415"/>
      <c r="P54" s="401"/>
      <c r="Q54" s="402" t="str">
        <f t="shared" si="78"/>
        <v xml:space="preserve"> - </v>
      </c>
      <c r="R54" s="402" t="str">
        <f t="shared" si="102"/>
        <v xml:space="preserve"> - </v>
      </c>
      <c r="S54" s="403" t="str">
        <f t="shared" si="103"/>
        <v xml:space="preserve"> - </v>
      </c>
      <c r="T54" s="403" t="str">
        <f t="shared" si="36"/>
        <v xml:space="preserve"> - </v>
      </c>
      <c r="U54" s="404"/>
      <c r="V54" s="404"/>
      <c r="W54" s="405"/>
      <c r="X54" s="406" t="str">
        <f t="shared" si="98"/>
        <v xml:space="preserve"> </v>
      </c>
      <c r="Y54" s="406" t="str">
        <f t="shared" si="98"/>
        <v xml:space="preserve"> </v>
      </c>
      <c r="Z54" s="406" t="str">
        <f t="shared" si="98"/>
        <v xml:space="preserve"> </v>
      </c>
      <c r="AA54" s="406" t="str">
        <f t="shared" si="98"/>
        <v xml:space="preserve"> </v>
      </c>
      <c r="AB54" s="406" t="str">
        <f t="shared" si="98"/>
        <v xml:space="preserve"> </v>
      </c>
      <c r="AC54" s="406" t="str">
        <f t="shared" si="98"/>
        <v xml:space="preserve"> </v>
      </c>
      <c r="AD54" s="406" t="str">
        <f t="shared" si="98"/>
        <v xml:space="preserve"> </v>
      </c>
      <c r="AE54" s="406" t="str">
        <f t="shared" si="98"/>
        <v xml:space="preserve"> </v>
      </c>
      <c r="AF54" s="406" t="str">
        <f t="shared" si="98"/>
        <v xml:space="preserve"> </v>
      </c>
      <c r="AG54" s="406" t="str">
        <f t="shared" si="98"/>
        <v xml:space="preserve"> </v>
      </c>
      <c r="AH54" s="406" t="str">
        <f t="shared" si="98"/>
        <v xml:space="preserve"> </v>
      </c>
      <c r="AI54" s="406" t="str">
        <f t="shared" si="98"/>
        <v xml:space="preserve"> </v>
      </c>
      <c r="AJ54" s="406" t="str">
        <f t="shared" si="98"/>
        <v xml:space="preserve"> </v>
      </c>
      <c r="AK54" s="406" t="str">
        <f t="shared" si="98"/>
        <v xml:space="preserve"> </v>
      </c>
      <c r="AL54" s="406" t="str">
        <f t="shared" si="98"/>
        <v xml:space="preserve"> </v>
      </c>
      <c r="AM54" s="406" t="str">
        <f t="shared" si="98"/>
        <v xml:space="preserve"> </v>
      </c>
      <c r="AN54" s="406" t="str">
        <f t="shared" si="90"/>
        <v xml:space="preserve"> </v>
      </c>
      <c r="AO54" s="406" t="str">
        <f t="shared" si="90"/>
        <v xml:space="preserve"> </v>
      </c>
      <c r="AP54" s="406" t="str">
        <f t="shared" si="90"/>
        <v xml:space="preserve"> </v>
      </c>
      <c r="AQ54" s="406" t="str">
        <f t="shared" si="90"/>
        <v xml:space="preserve"> </v>
      </c>
      <c r="AR54" s="406" t="str">
        <f t="shared" si="90"/>
        <v xml:space="preserve"> </v>
      </c>
      <c r="AS54" s="406" t="str">
        <f t="shared" si="90"/>
        <v xml:space="preserve"> </v>
      </c>
      <c r="AT54" s="406" t="str">
        <f t="shared" si="90"/>
        <v xml:space="preserve"> </v>
      </c>
      <c r="AU54" s="406" t="str">
        <f t="shared" si="90"/>
        <v xml:space="preserve"> </v>
      </c>
      <c r="AV54" s="406" t="str">
        <f t="shared" si="90"/>
        <v xml:space="preserve"> </v>
      </c>
      <c r="AW54" s="406" t="str">
        <f t="shared" si="90"/>
        <v xml:space="preserve"> </v>
      </c>
      <c r="AX54" s="406" t="str">
        <f t="shared" si="90"/>
        <v xml:space="preserve"> </v>
      </c>
      <c r="AY54" s="406" t="str">
        <f t="shared" si="90"/>
        <v xml:space="preserve"> </v>
      </c>
      <c r="AZ54" s="406" t="str">
        <f t="shared" si="90"/>
        <v xml:space="preserve"> </v>
      </c>
      <c r="BA54" s="406" t="str">
        <f t="shared" si="90"/>
        <v xml:space="preserve"> </v>
      </c>
      <c r="BB54" s="406" t="str">
        <f t="shared" si="91"/>
        <v xml:space="preserve"> </v>
      </c>
      <c r="BC54" s="406" t="str">
        <f t="shared" si="91"/>
        <v xml:space="preserve"> </v>
      </c>
      <c r="BD54" s="406" t="str">
        <f t="shared" si="91"/>
        <v xml:space="preserve"> </v>
      </c>
      <c r="BE54" s="406" t="str">
        <f t="shared" si="91"/>
        <v xml:space="preserve"> </v>
      </c>
      <c r="BF54" s="406" t="str">
        <f t="shared" si="91"/>
        <v xml:space="preserve"> </v>
      </c>
      <c r="BG54" s="406" t="str">
        <f t="shared" si="91"/>
        <v xml:space="preserve"> </v>
      </c>
      <c r="BH54" s="406" t="str">
        <f t="shared" si="91"/>
        <v xml:space="preserve"> </v>
      </c>
      <c r="BI54" s="406" t="str">
        <f t="shared" si="91"/>
        <v xml:space="preserve"> </v>
      </c>
      <c r="BJ54" s="406" t="str">
        <f t="shared" si="91"/>
        <v xml:space="preserve"> </v>
      </c>
      <c r="BK54" s="406" t="str">
        <f t="shared" si="91"/>
        <v xml:space="preserve"> </v>
      </c>
      <c r="BL54" s="406" t="str">
        <f t="shared" si="91"/>
        <v xml:space="preserve"> </v>
      </c>
      <c r="BM54" s="406" t="str">
        <f t="shared" si="91"/>
        <v xml:space="preserve"> </v>
      </c>
      <c r="BN54" s="406" t="str">
        <f t="shared" si="91"/>
        <v xml:space="preserve"> </v>
      </c>
      <c r="BO54" s="406" t="str">
        <f t="shared" si="91"/>
        <v xml:space="preserve"> </v>
      </c>
      <c r="BP54" s="406" t="str">
        <f t="shared" si="91"/>
        <v xml:space="preserve"> </v>
      </c>
      <c r="BQ54" s="406" t="str">
        <f t="shared" si="91"/>
        <v xml:space="preserve"> </v>
      </c>
      <c r="BR54" s="406" t="str">
        <f t="shared" si="99"/>
        <v xml:space="preserve"> </v>
      </c>
      <c r="BS54" s="406" t="str">
        <f t="shared" si="99"/>
        <v xml:space="preserve"> </v>
      </c>
      <c r="BT54" s="406" t="str">
        <f t="shared" si="99"/>
        <v xml:space="preserve"> </v>
      </c>
      <c r="BU54" s="406" t="str">
        <f t="shared" si="99"/>
        <v xml:space="preserve"> </v>
      </c>
      <c r="BV54" s="406" t="str">
        <f t="shared" si="99"/>
        <v xml:space="preserve"> </v>
      </c>
      <c r="BW54" s="406" t="str">
        <f t="shared" si="99"/>
        <v xml:space="preserve"> </v>
      </c>
      <c r="BX54" s="406" t="str">
        <f t="shared" si="99"/>
        <v xml:space="preserve"> </v>
      </c>
      <c r="BY54" s="406" t="str">
        <f t="shared" si="99"/>
        <v xml:space="preserve"> </v>
      </c>
      <c r="BZ54" s="406" t="str">
        <f t="shared" si="99"/>
        <v xml:space="preserve"> </v>
      </c>
      <c r="CA54" s="406" t="str">
        <f t="shared" si="99"/>
        <v xml:space="preserve"> </v>
      </c>
      <c r="CB54" s="407" t="str">
        <f t="shared" si="99"/>
        <v xml:space="preserve"> </v>
      </c>
      <c r="CC54" s="407" t="str">
        <f t="shared" si="99"/>
        <v xml:space="preserve"> </v>
      </c>
      <c r="CD54" s="407" t="str">
        <f t="shared" si="99"/>
        <v xml:space="preserve"> </v>
      </c>
      <c r="CE54" s="407" t="str">
        <f t="shared" si="99"/>
        <v xml:space="preserve"> </v>
      </c>
      <c r="CF54" s="407" t="str">
        <f t="shared" si="99"/>
        <v xml:space="preserve"> </v>
      </c>
      <c r="CG54" s="407" t="str">
        <f t="shared" si="99"/>
        <v xml:space="preserve"> </v>
      </c>
      <c r="CH54" s="407" t="str">
        <f t="shared" si="100"/>
        <v xml:space="preserve"> </v>
      </c>
      <c r="CI54" s="407" t="str">
        <f t="shared" si="94"/>
        <v xml:space="preserve"> </v>
      </c>
      <c r="CJ54" s="407" t="str">
        <f t="shared" si="94"/>
        <v xml:space="preserve"> </v>
      </c>
      <c r="CK54" s="407" t="str">
        <f t="shared" si="94"/>
        <v xml:space="preserve"> </v>
      </c>
      <c r="CL54" s="407" t="str">
        <f t="shared" si="94"/>
        <v xml:space="preserve"> </v>
      </c>
      <c r="CM54" s="407" t="str">
        <f t="shared" si="94"/>
        <v xml:space="preserve"> </v>
      </c>
      <c r="CN54" s="407" t="str">
        <f t="shared" si="94"/>
        <v xml:space="preserve"> </v>
      </c>
      <c r="CO54" s="407" t="str">
        <f t="shared" si="94"/>
        <v xml:space="preserve"> </v>
      </c>
      <c r="CP54" s="407" t="str">
        <f t="shared" si="94"/>
        <v xml:space="preserve"> </v>
      </c>
      <c r="CQ54" s="407" t="str">
        <f t="shared" si="94"/>
        <v xml:space="preserve"> </v>
      </c>
      <c r="CR54" s="407" t="str">
        <f t="shared" si="94"/>
        <v xml:space="preserve"> </v>
      </c>
      <c r="CS54" s="407" t="str">
        <f t="shared" si="94"/>
        <v xml:space="preserve"> </v>
      </c>
      <c r="CT54" s="407" t="str">
        <f t="shared" si="94"/>
        <v xml:space="preserve"> </v>
      </c>
      <c r="CU54" s="407" t="str">
        <f t="shared" si="94"/>
        <v xml:space="preserve"> </v>
      </c>
      <c r="CV54" s="407" t="str">
        <f t="shared" si="94"/>
        <v xml:space="preserve"> </v>
      </c>
      <c r="CW54" s="407" t="str">
        <f t="shared" si="94"/>
        <v xml:space="preserve"> </v>
      </c>
      <c r="CX54" s="407" t="str">
        <f t="shared" si="94"/>
        <v xml:space="preserve"> </v>
      </c>
      <c r="CY54" s="407" t="str">
        <f t="shared" si="101"/>
        <v xml:space="preserve"> </v>
      </c>
      <c r="CZ54" s="407" t="str">
        <f t="shared" si="101"/>
        <v xml:space="preserve"> </v>
      </c>
      <c r="DA54" s="407" t="str">
        <f t="shared" si="101"/>
        <v xml:space="preserve"> </v>
      </c>
      <c r="DB54" s="407" t="str">
        <f t="shared" si="101"/>
        <v xml:space="preserve"> </v>
      </c>
      <c r="DC54" s="407" t="str">
        <f t="shared" si="101"/>
        <v xml:space="preserve"> </v>
      </c>
      <c r="DD54" s="407" t="str">
        <f t="shared" si="101"/>
        <v xml:space="preserve"> </v>
      </c>
      <c r="DE54" s="407" t="str">
        <f t="shared" si="101"/>
        <v xml:space="preserve"> </v>
      </c>
      <c r="DF54" s="407" t="str">
        <f t="shared" si="101"/>
        <v xml:space="preserve"> </v>
      </c>
      <c r="DG54" s="407" t="str">
        <f t="shared" si="96"/>
        <v xml:space="preserve"> </v>
      </c>
      <c r="DH54" s="407" t="str">
        <f t="shared" si="96"/>
        <v xml:space="preserve"> </v>
      </c>
      <c r="DI54" s="407" t="str">
        <f t="shared" si="96"/>
        <v xml:space="preserve"> </v>
      </c>
      <c r="DJ54" s="407" t="str">
        <f t="shared" si="96"/>
        <v xml:space="preserve"> </v>
      </c>
      <c r="DK54" s="407" t="str">
        <f t="shared" si="96"/>
        <v xml:space="preserve"> </v>
      </c>
      <c r="DL54" s="407" t="str">
        <f t="shared" si="96"/>
        <v xml:space="preserve"> </v>
      </c>
      <c r="DM54" s="407" t="str">
        <f t="shared" si="96"/>
        <v xml:space="preserve"> </v>
      </c>
      <c r="DN54" s="407" t="str">
        <f t="shared" si="96"/>
        <v xml:space="preserve"> </v>
      </c>
      <c r="DO54" s="407" t="str">
        <f t="shared" si="96"/>
        <v xml:space="preserve"> </v>
      </c>
      <c r="DP54" s="407" t="str">
        <f t="shared" si="96"/>
        <v xml:space="preserve"> </v>
      </c>
      <c r="DQ54" s="407" t="str">
        <f t="shared" si="97"/>
        <v xml:space="preserve"> </v>
      </c>
      <c r="DR54" s="407" t="str">
        <f t="shared" si="97"/>
        <v xml:space="preserve"> </v>
      </c>
      <c r="DS54" s="407" t="str">
        <f t="shared" si="97"/>
        <v xml:space="preserve"> </v>
      </c>
      <c r="DT54" s="407" t="str">
        <f t="shared" si="97"/>
        <v xml:space="preserve"> </v>
      </c>
      <c r="DU54" s="407" t="str">
        <f t="shared" si="97"/>
        <v xml:space="preserve"> </v>
      </c>
      <c r="DV54" s="407" t="str">
        <f t="shared" si="97"/>
        <v xml:space="preserve"> </v>
      </c>
      <c r="DW54" s="407" t="str">
        <f t="shared" si="97"/>
        <v xml:space="preserve"> </v>
      </c>
      <c r="DX54" s="407" t="str">
        <f t="shared" si="97"/>
        <v xml:space="preserve"> </v>
      </c>
      <c r="DY54" s="407" t="str">
        <f t="shared" si="97"/>
        <v xml:space="preserve"> </v>
      </c>
      <c r="DZ54" s="407" t="str">
        <f t="shared" si="97"/>
        <v xml:space="preserve"> </v>
      </c>
      <c r="EA54" s="407" t="str">
        <f t="shared" si="97"/>
        <v xml:space="preserve"> </v>
      </c>
      <c r="EB54" s="407" t="str">
        <f t="shared" si="97"/>
        <v xml:space="preserve"> </v>
      </c>
      <c r="EC54" s="407" t="str">
        <f t="shared" si="97"/>
        <v xml:space="preserve"> </v>
      </c>
      <c r="ED54" s="407" t="str">
        <f t="shared" si="97"/>
        <v xml:space="preserve"> </v>
      </c>
      <c r="EE54" s="407" t="str">
        <f t="shared" si="97"/>
        <v xml:space="preserve"> </v>
      </c>
    </row>
    <row r="55" spans="1:135" s="408" customFormat="1" x14ac:dyDescent="0.25">
      <c r="A55" s="390"/>
      <c r="B55" s="391" t="str">
        <f t="shared" si="86"/>
        <v>-</v>
      </c>
      <c r="C55" s="393"/>
      <c r="D55" s="393"/>
      <c r="E55" s="394"/>
      <c r="F55" s="409"/>
      <c r="G55" s="410"/>
      <c r="H55" s="410"/>
      <c r="I55" s="410"/>
      <c r="J55" s="411"/>
      <c r="K55" s="412"/>
      <c r="L55" s="413"/>
      <c r="M55" s="411"/>
      <c r="N55" s="414"/>
      <c r="O55" s="415"/>
      <c r="P55" s="401"/>
      <c r="Q55" s="402" t="str">
        <f t="shared" si="78"/>
        <v xml:space="preserve"> - </v>
      </c>
      <c r="R55" s="402" t="str">
        <f t="shared" si="102"/>
        <v xml:space="preserve"> - </v>
      </c>
      <c r="S55" s="403" t="str">
        <f t="shared" si="103"/>
        <v xml:space="preserve"> - </v>
      </c>
      <c r="T55" s="403" t="str">
        <f t="shared" si="36"/>
        <v xml:space="preserve"> - </v>
      </c>
      <c r="U55" s="404"/>
      <c r="V55" s="404"/>
      <c r="W55" s="405"/>
      <c r="X55" s="406" t="str">
        <f t="shared" si="98"/>
        <v xml:space="preserve"> </v>
      </c>
      <c r="Y55" s="406" t="str">
        <f t="shared" si="98"/>
        <v xml:space="preserve"> </v>
      </c>
      <c r="Z55" s="406" t="str">
        <f t="shared" si="98"/>
        <v xml:space="preserve"> </v>
      </c>
      <c r="AA55" s="406" t="str">
        <f t="shared" si="98"/>
        <v xml:space="preserve"> </v>
      </c>
      <c r="AB55" s="406" t="str">
        <f t="shared" si="98"/>
        <v xml:space="preserve"> </v>
      </c>
      <c r="AC55" s="406" t="str">
        <f t="shared" si="98"/>
        <v xml:space="preserve"> </v>
      </c>
      <c r="AD55" s="406" t="str">
        <f t="shared" si="98"/>
        <v xml:space="preserve"> </v>
      </c>
      <c r="AE55" s="406" t="str">
        <f t="shared" si="98"/>
        <v xml:space="preserve"> </v>
      </c>
      <c r="AF55" s="406" t="str">
        <f t="shared" si="98"/>
        <v xml:space="preserve"> </v>
      </c>
      <c r="AG55" s="406" t="str">
        <f t="shared" si="98"/>
        <v xml:space="preserve"> </v>
      </c>
      <c r="AH55" s="406" t="str">
        <f t="shared" si="98"/>
        <v xml:space="preserve"> </v>
      </c>
      <c r="AI55" s="406" t="str">
        <f t="shared" si="98"/>
        <v xml:space="preserve"> </v>
      </c>
      <c r="AJ55" s="406" t="str">
        <f t="shared" si="98"/>
        <v xml:space="preserve"> </v>
      </c>
      <c r="AK55" s="406" t="str">
        <f t="shared" si="98"/>
        <v xml:space="preserve"> </v>
      </c>
      <c r="AL55" s="406" t="str">
        <f t="shared" si="98"/>
        <v xml:space="preserve"> </v>
      </c>
      <c r="AM55" s="406" t="str">
        <f t="shared" si="98"/>
        <v xml:space="preserve"> </v>
      </c>
      <c r="AN55" s="406" t="str">
        <f t="shared" si="90"/>
        <v xml:space="preserve"> </v>
      </c>
      <c r="AO55" s="406" t="str">
        <f t="shared" si="90"/>
        <v xml:space="preserve"> </v>
      </c>
      <c r="AP55" s="406" t="str">
        <f t="shared" si="90"/>
        <v xml:space="preserve"> </v>
      </c>
      <c r="AQ55" s="406" t="str">
        <f t="shared" si="90"/>
        <v xml:space="preserve"> </v>
      </c>
      <c r="AR55" s="406" t="str">
        <f t="shared" si="90"/>
        <v xml:space="preserve"> </v>
      </c>
      <c r="AS55" s="406" t="str">
        <f t="shared" si="90"/>
        <v xml:space="preserve"> </v>
      </c>
      <c r="AT55" s="406" t="str">
        <f t="shared" si="90"/>
        <v xml:space="preserve"> </v>
      </c>
      <c r="AU55" s="406" t="str">
        <f t="shared" si="90"/>
        <v xml:space="preserve"> </v>
      </c>
      <c r="AV55" s="406" t="str">
        <f t="shared" si="90"/>
        <v xml:space="preserve"> </v>
      </c>
      <c r="AW55" s="406" t="str">
        <f t="shared" si="90"/>
        <v xml:space="preserve"> </v>
      </c>
      <c r="AX55" s="406" t="str">
        <f t="shared" si="90"/>
        <v xml:space="preserve"> </v>
      </c>
      <c r="AY55" s="406" t="str">
        <f t="shared" si="90"/>
        <v xml:space="preserve"> </v>
      </c>
      <c r="AZ55" s="406" t="str">
        <f t="shared" si="90"/>
        <v xml:space="preserve"> </v>
      </c>
      <c r="BA55" s="406" t="str">
        <f t="shared" si="90"/>
        <v xml:space="preserve"> </v>
      </c>
      <c r="BB55" s="406" t="str">
        <f t="shared" si="91"/>
        <v xml:space="preserve"> </v>
      </c>
      <c r="BC55" s="406" t="str">
        <f t="shared" si="91"/>
        <v xml:space="preserve"> </v>
      </c>
      <c r="BD55" s="406" t="str">
        <f t="shared" si="91"/>
        <v xml:space="preserve"> </v>
      </c>
      <c r="BE55" s="406" t="str">
        <f t="shared" si="91"/>
        <v xml:space="preserve"> </v>
      </c>
      <c r="BF55" s="406" t="str">
        <f t="shared" si="91"/>
        <v xml:space="preserve"> </v>
      </c>
      <c r="BG55" s="406" t="str">
        <f t="shared" si="91"/>
        <v xml:space="preserve"> </v>
      </c>
      <c r="BH55" s="406" t="str">
        <f t="shared" si="91"/>
        <v xml:space="preserve"> </v>
      </c>
      <c r="BI55" s="406" t="str">
        <f t="shared" si="91"/>
        <v xml:space="preserve"> </v>
      </c>
      <c r="BJ55" s="406" t="str">
        <f t="shared" si="91"/>
        <v xml:space="preserve"> </v>
      </c>
      <c r="BK55" s="406" t="str">
        <f t="shared" si="91"/>
        <v xml:space="preserve"> </v>
      </c>
      <c r="BL55" s="406" t="str">
        <f t="shared" si="91"/>
        <v xml:space="preserve"> </v>
      </c>
      <c r="BM55" s="406" t="str">
        <f t="shared" si="91"/>
        <v xml:space="preserve"> </v>
      </c>
      <c r="BN55" s="406" t="str">
        <f t="shared" si="91"/>
        <v xml:space="preserve"> </v>
      </c>
      <c r="BO55" s="406" t="str">
        <f t="shared" si="91"/>
        <v xml:space="preserve"> </v>
      </c>
      <c r="BP55" s="406" t="str">
        <f t="shared" si="91"/>
        <v xml:space="preserve"> </v>
      </c>
      <c r="BQ55" s="406" t="str">
        <f t="shared" si="91"/>
        <v xml:space="preserve"> </v>
      </c>
      <c r="BR55" s="406" t="str">
        <f t="shared" si="99"/>
        <v xml:space="preserve"> </v>
      </c>
      <c r="BS55" s="406" t="str">
        <f t="shared" si="99"/>
        <v xml:space="preserve"> </v>
      </c>
      <c r="BT55" s="406" t="str">
        <f t="shared" si="99"/>
        <v xml:space="preserve"> </v>
      </c>
      <c r="BU55" s="406" t="str">
        <f t="shared" si="99"/>
        <v xml:space="preserve"> </v>
      </c>
      <c r="BV55" s="406" t="str">
        <f t="shared" si="99"/>
        <v xml:space="preserve"> </v>
      </c>
      <c r="BW55" s="406" t="str">
        <f t="shared" si="99"/>
        <v xml:space="preserve"> </v>
      </c>
      <c r="BX55" s="406" t="str">
        <f t="shared" si="99"/>
        <v xml:space="preserve"> </v>
      </c>
      <c r="BY55" s="406" t="str">
        <f t="shared" si="99"/>
        <v xml:space="preserve"> </v>
      </c>
      <c r="BZ55" s="406" t="str">
        <f t="shared" si="99"/>
        <v xml:space="preserve"> </v>
      </c>
      <c r="CA55" s="406" t="str">
        <f t="shared" si="99"/>
        <v xml:space="preserve"> </v>
      </c>
      <c r="CB55" s="407" t="str">
        <f t="shared" si="99"/>
        <v xml:space="preserve"> </v>
      </c>
      <c r="CC55" s="407" t="str">
        <f t="shared" si="99"/>
        <v xml:space="preserve"> </v>
      </c>
      <c r="CD55" s="407" t="str">
        <f t="shared" si="99"/>
        <v xml:space="preserve"> </v>
      </c>
      <c r="CE55" s="407" t="str">
        <f t="shared" si="99"/>
        <v xml:space="preserve"> </v>
      </c>
      <c r="CF55" s="407" t="str">
        <f t="shared" si="99"/>
        <v xml:space="preserve"> </v>
      </c>
      <c r="CG55" s="407" t="str">
        <f t="shared" si="99"/>
        <v xml:space="preserve"> </v>
      </c>
      <c r="CH55" s="407" t="str">
        <f t="shared" si="100"/>
        <v xml:space="preserve"> </v>
      </c>
      <c r="CI55" s="407" t="str">
        <f t="shared" si="94"/>
        <v xml:space="preserve"> </v>
      </c>
      <c r="CJ55" s="407" t="str">
        <f t="shared" si="94"/>
        <v xml:space="preserve"> </v>
      </c>
      <c r="CK55" s="407" t="str">
        <f t="shared" si="94"/>
        <v xml:space="preserve"> </v>
      </c>
      <c r="CL55" s="407" t="str">
        <f t="shared" si="94"/>
        <v xml:space="preserve"> </v>
      </c>
      <c r="CM55" s="407" t="str">
        <f t="shared" si="94"/>
        <v xml:space="preserve"> </v>
      </c>
      <c r="CN55" s="407" t="str">
        <f t="shared" si="94"/>
        <v xml:space="preserve"> </v>
      </c>
      <c r="CO55" s="407" t="str">
        <f t="shared" si="94"/>
        <v xml:space="preserve"> </v>
      </c>
      <c r="CP55" s="407" t="str">
        <f t="shared" si="94"/>
        <v xml:space="preserve"> </v>
      </c>
      <c r="CQ55" s="407" t="str">
        <f t="shared" si="94"/>
        <v xml:space="preserve"> </v>
      </c>
      <c r="CR55" s="407" t="str">
        <f t="shared" si="94"/>
        <v xml:space="preserve"> </v>
      </c>
      <c r="CS55" s="407" t="str">
        <f t="shared" si="94"/>
        <v xml:space="preserve"> </v>
      </c>
      <c r="CT55" s="407" t="str">
        <f t="shared" si="94"/>
        <v xml:space="preserve"> </v>
      </c>
      <c r="CU55" s="407" t="str">
        <f t="shared" si="94"/>
        <v xml:space="preserve"> </v>
      </c>
      <c r="CV55" s="407" t="str">
        <f t="shared" si="94"/>
        <v xml:space="preserve"> </v>
      </c>
      <c r="CW55" s="407" t="str">
        <f t="shared" si="94"/>
        <v xml:space="preserve"> </v>
      </c>
      <c r="CX55" s="407" t="str">
        <f t="shared" si="94"/>
        <v xml:space="preserve"> </v>
      </c>
      <c r="CY55" s="407" t="str">
        <f t="shared" si="101"/>
        <v xml:space="preserve"> </v>
      </c>
      <c r="CZ55" s="407" t="str">
        <f t="shared" si="101"/>
        <v xml:space="preserve"> </v>
      </c>
      <c r="DA55" s="407" t="str">
        <f t="shared" si="101"/>
        <v xml:space="preserve"> </v>
      </c>
      <c r="DB55" s="407" t="str">
        <f t="shared" si="101"/>
        <v xml:space="preserve"> </v>
      </c>
      <c r="DC55" s="407" t="str">
        <f t="shared" si="101"/>
        <v xml:space="preserve"> </v>
      </c>
      <c r="DD55" s="407" t="str">
        <f t="shared" si="101"/>
        <v xml:space="preserve"> </v>
      </c>
      <c r="DE55" s="407" t="str">
        <f t="shared" si="101"/>
        <v xml:space="preserve"> </v>
      </c>
      <c r="DF55" s="407" t="str">
        <f t="shared" si="101"/>
        <v xml:space="preserve"> </v>
      </c>
      <c r="DG55" s="407" t="str">
        <f t="shared" si="96"/>
        <v xml:space="preserve"> </v>
      </c>
      <c r="DH55" s="407" t="str">
        <f t="shared" si="96"/>
        <v xml:space="preserve"> </v>
      </c>
      <c r="DI55" s="407" t="str">
        <f t="shared" si="96"/>
        <v xml:space="preserve"> </v>
      </c>
      <c r="DJ55" s="407" t="str">
        <f t="shared" si="96"/>
        <v xml:space="preserve"> </v>
      </c>
      <c r="DK55" s="407" t="str">
        <f t="shared" si="96"/>
        <v xml:space="preserve"> </v>
      </c>
      <c r="DL55" s="407" t="str">
        <f t="shared" si="96"/>
        <v xml:space="preserve"> </v>
      </c>
      <c r="DM55" s="407" t="str">
        <f t="shared" si="96"/>
        <v xml:space="preserve"> </v>
      </c>
      <c r="DN55" s="407" t="str">
        <f t="shared" si="96"/>
        <v xml:space="preserve"> </v>
      </c>
      <c r="DO55" s="407" t="str">
        <f t="shared" si="96"/>
        <v xml:space="preserve"> </v>
      </c>
      <c r="DP55" s="407" t="str">
        <f t="shared" si="96"/>
        <v xml:space="preserve"> </v>
      </c>
      <c r="DQ55" s="407" t="str">
        <f t="shared" si="97"/>
        <v xml:space="preserve"> </v>
      </c>
      <c r="DR55" s="407" t="str">
        <f t="shared" si="97"/>
        <v xml:space="preserve"> </v>
      </c>
      <c r="DS55" s="407" t="str">
        <f t="shared" si="97"/>
        <v xml:space="preserve"> </v>
      </c>
      <c r="DT55" s="407" t="str">
        <f t="shared" si="97"/>
        <v xml:space="preserve"> </v>
      </c>
      <c r="DU55" s="407" t="str">
        <f t="shared" si="97"/>
        <v xml:space="preserve"> </v>
      </c>
      <c r="DV55" s="407" t="str">
        <f t="shared" si="97"/>
        <v xml:space="preserve"> </v>
      </c>
      <c r="DW55" s="407" t="str">
        <f t="shared" si="97"/>
        <v xml:space="preserve"> </v>
      </c>
      <c r="DX55" s="407" t="str">
        <f t="shared" si="97"/>
        <v xml:space="preserve"> </v>
      </c>
      <c r="DY55" s="407" t="str">
        <f t="shared" si="97"/>
        <v xml:space="preserve"> </v>
      </c>
      <c r="DZ55" s="407" t="str">
        <f t="shared" si="97"/>
        <v xml:space="preserve"> </v>
      </c>
      <c r="EA55" s="407" t="str">
        <f t="shared" si="97"/>
        <v xml:space="preserve"> </v>
      </c>
      <c r="EB55" s="407" t="str">
        <f t="shared" si="97"/>
        <v xml:space="preserve"> </v>
      </c>
      <c r="EC55" s="407" t="str">
        <f t="shared" si="97"/>
        <v xml:space="preserve"> </v>
      </c>
      <c r="ED55" s="407" t="str">
        <f t="shared" si="97"/>
        <v xml:space="preserve"> </v>
      </c>
      <c r="EE55" s="407" t="str">
        <f t="shared" si="97"/>
        <v xml:space="preserve"> </v>
      </c>
    </row>
    <row r="56" spans="1:135" s="408" customFormat="1" x14ac:dyDescent="0.25">
      <c r="A56" s="390"/>
      <c r="B56" s="391" t="str">
        <f t="shared" si="86"/>
        <v>-</v>
      </c>
      <c r="C56" s="393"/>
      <c r="D56" s="393"/>
      <c r="E56" s="394"/>
      <c r="F56" s="409"/>
      <c r="G56" s="410"/>
      <c r="H56" s="410"/>
      <c r="I56" s="410"/>
      <c r="J56" s="411"/>
      <c r="K56" s="412"/>
      <c r="L56" s="413"/>
      <c r="M56" s="411"/>
      <c r="N56" s="414"/>
      <c r="O56" s="415"/>
      <c r="P56" s="401"/>
      <c r="Q56" s="402" t="str">
        <f t="shared" si="78"/>
        <v xml:space="preserve"> - </v>
      </c>
      <c r="R56" s="402" t="str">
        <f t="shared" si="102"/>
        <v xml:space="preserve"> - </v>
      </c>
      <c r="S56" s="403" t="str">
        <f t="shared" si="103"/>
        <v xml:space="preserve"> - </v>
      </c>
      <c r="T56" s="403" t="str">
        <f t="shared" si="36"/>
        <v xml:space="preserve"> - </v>
      </c>
      <c r="U56" s="404"/>
      <c r="V56" s="404"/>
      <c r="W56" s="405"/>
      <c r="X56" s="406" t="str">
        <f t="shared" si="98"/>
        <v xml:space="preserve"> </v>
      </c>
      <c r="Y56" s="406" t="str">
        <f t="shared" si="98"/>
        <v xml:space="preserve"> </v>
      </c>
      <c r="Z56" s="406" t="str">
        <f t="shared" si="98"/>
        <v xml:space="preserve"> </v>
      </c>
      <c r="AA56" s="406" t="str">
        <f t="shared" si="98"/>
        <v xml:space="preserve"> </v>
      </c>
      <c r="AB56" s="406" t="str">
        <f t="shared" si="98"/>
        <v xml:space="preserve"> </v>
      </c>
      <c r="AC56" s="406" t="str">
        <f t="shared" si="98"/>
        <v xml:space="preserve"> </v>
      </c>
      <c r="AD56" s="406" t="str">
        <f t="shared" si="98"/>
        <v xml:space="preserve"> </v>
      </c>
      <c r="AE56" s="406" t="str">
        <f t="shared" si="98"/>
        <v xml:space="preserve"> </v>
      </c>
      <c r="AF56" s="406" t="str">
        <f t="shared" si="98"/>
        <v xml:space="preserve"> </v>
      </c>
      <c r="AG56" s="406" t="str">
        <f t="shared" si="98"/>
        <v xml:space="preserve"> </v>
      </c>
      <c r="AH56" s="406" t="str">
        <f t="shared" si="98"/>
        <v xml:space="preserve"> </v>
      </c>
      <c r="AI56" s="406" t="str">
        <f t="shared" si="98"/>
        <v xml:space="preserve"> </v>
      </c>
      <c r="AJ56" s="406" t="str">
        <f t="shared" si="98"/>
        <v xml:space="preserve"> </v>
      </c>
      <c r="AK56" s="406" t="str">
        <f t="shared" si="98"/>
        <v xml:space="preserve"> </v>
      </c>
      <c r="AL56" s="406" t="str">
        <f t="shared" si="98"/>
        <v xml:space="preserve"> </v>
      </c>
      <c r="AM56" s="406" t="str">
        <f t="shared" si="98"/>
        <v xml:space="preserve"> </v>
      </c>
      <c r="AN56" s="406" t="str">
        <f t="shared" si="90"/>
        <v xml:space="preserve"> </v>
      </c>
      <c r="AO56" s="406" t="str">
        <f t="shared" si="90"/>
        <v xml:space="preserve"> </v>
      </c>
      <c r="AP56" s="406" t="str">
        <f t="shared" si="90"/>
        <v xml:space="preserve"> </v>
      </c>
      <c r="AQ56" s="406" t="str">
        <f t="shared" si="90"/>
        <v xml:space="preserve"> </v>
      </c>
      <c r="AR56" s="406" t="str">
        <f t="shared" si="90"/>
        <v xml:space="preserve"> </v>
      </c>
      <c r="AS56" s="406" t="str">
        <f t="shared" si="90"/>
        <v xml:space="preserve"> </v>
      </c>
      <c r="AT56" s="406" t="str">
        <f t="shared" si="90"/>
        <v xml:space="preserve"> </v>
      </c>
      <c r="AU56" s="406" t="str">
        <f t="shared" si="90"/>
        <v xml:space="preserve"> </v>
      </c>
      <c r="AV56" s="406" t="str">
        <f t="shared" si="90"/>
        <v xml:space="preserve"> </v>
      </c>
      <c r="AW56" s="406" t="str">
        <f t="shared" si="90"/>
        <v xml:space="preserve"> </v>
      </c>
      <c r="AX56" s="406" t="str">
        <f t="shared" si="90"/>
        <v xml:space="preserve"> </v>
      </c>
      <c r="AY56" s="406" t="str">
        <f t="shared" si="90"/>
        <v xml:space="preserve"> </v>
      </c>
      <c r="AZ56" s="406" t="str">
        <f t="shared" si="90"/>
        <v xml:space="preserve"> </v>
      </c>
      <c r="BA56" s="406" t="str">
        <f t="shared" si="90"/>
        <v xml:space="preserve"> </v>
      </c>
      <c r="BB56" s="406" t="str">
        <f t="shared" si="91"/>
        <v xml:space="preserve"> </v>
      </c>
      <c r="BC56" s="406" t="str">
        <f t="shared" si="91"/>
        <v xml:space="preserve"> </v>
      </c>
      <c r="BD56" s="406" t="str">
        <f t="shared" si="91"/>
        <v xml:space="preserve"> </v>
      </c>
      <c r="BE56" s="406" t="str">
        <f t="shared" si="91"/>
        <v xml:space="preserve"> </v>
      </c>
      <c r="BF56" s="406" t="str">
        <f t="shared" si="91"/>
        <v xml:space="preserve"> </v>
      </c>
      <c r="BG56" s="406" t="str">
        <f t="shared" si="91"/>
        <v xml:space="preserve"> </v>
      </c>
      <c r="BH56" s="406" t="str">
        <f t="shared" si="91"/>
        <v xml:space="preserve"> </v>
      </c>
      <c r="BI56" s="406" t="str">
        <f t="shared" si="91"/>
        <v xml:space="preserve"> </v>
      </c>
      <c r="BJ56" s="406" t="str">
        <f t="shared" si="91"/>
        <v xml:space="preserve"> </v>
      </c>
      <c r="BK56" s="406" t="str">
        <f t="shared" si="91"/>
        <v xml:space="preserve"> </v>
      </c>
      <c r="BL56" s="406" t="str">
        <f t="shared" si="91"/>
        <v xml:space="preserve"> </v>
      </c>
      <c r="BM56" s="406" t="str">
        <f t="shared" si="91"/>
        <v xml:space="preserve"> </v>
      </c>
      <c r="BN56" s="406" t="str">
        <f t="shared" si="91"/>
        <v xml:space="preserve"> </v>
      </c>
      <c r="BO56" s="406" t="str">
        <f t="shared" si="91"/>
        <v xml:space="preserve"> </v>
      </c>
      <c r="BP56" s="406" t="str">
        <f t="shared" si="91"/>
        <v xml:space="preserve"> </v>
      </c>
      <c r="BQ56" s="406" t="str">
        <f t="shared" si="91"/>
        <v xml:space="preserve"> </v>
      </c>
      <c r="BR56" s="406" t="str">
        <f t="shared" si="99"/>
        <v xml:space="preserve"> </v>
      </c>
      <c r="BS56" s="406" t="str">
        <f t="shared" si="99"/>
        <v xml:space="preserve"> </v>
      </c>
      <c r="BT56" s="406" t="str">
        <f t="shared" si="99"/>
        <v xml:space="preserve"> </v>
      </c>
      <c r="BU56" s="406" t="str">
        <f t="shared" si="99"/>
        <v xml:space="preserve"> </v>
      </c>
      <c r="BV56" s="406" t="str">
        <f t="shared" si="99"/>
        <v xml:space="preserve"> </v>
      </c>
      <c r="BW56" s="406" t="str">
        <f t="shared" si="99"/>
        <v xml:space="preserve"> </v>
      </c>
      <c r="BX56" s="406" t="str">
        <f t="shared" si="99"/>
        <v xml:space="preserve"> </v>
      </c>
      <c r="BY56" s="406" t="str">
        <f t="shared" si="99"/>
        <v xml:space="preserve"> </v>
      </c>
      <c r="BZ56" s="406" t="str">
        <f t="shared" si="99"/>
        <v xml:space="preserve"> </v>
      </c>
      <c r="CA56" s="406" t="str">
        <f t="shared" si="99"/>
        <v xml:space="preserve"> </v>
      </c>
      <c r="CB56" s="407" t="str">
        <f t="shared" si="99"/>
        <v xml:space="preserve"> </v>
      </c>
      <c r="CC56" s="407" t="str">
        <f t="shared" si="99"/>
        <v xml:space="preserve"> </v>
      </c>
      <c r="CD56" s="407" t="str">
        <f t="shared" si="99"/>
        <v xml:space="preserve"> </v>
      </c>
      <c r="CE56" s="407" t="str">
        <f t="shared" si="99"/>
        <v xml:space="preserve"> </v>
      </c>
      <c r="CF56" s="407" t="str">
        <f t="shared" si="99"/>
        <v xml:space="preserve"> </v>
      </c>
      <c r="CG56" s="407" t="str">
        <f t="shared" si="99"/>
        <v xml:space="preserve"> </v>
      </c>
      <c r="CH56" s="407" t="str">
        <f t="shared" si="100"/>
        <v xml:space="preserve"> </v>
      </c>
      <c r="CI56" s="407" t="str">
        <f t="shared" si="94"/>
        <v xml:space="preserve"> </v>
      </c>
      <c r="CJ56" s="407" t="str">
        <f t="shared" si="94"/>
        <v xml:space="preserve"> </v>
      </c>
      <c r="CK56" s="407" t="str">
        <f t="shared" si="94"/>
        <v xml:space="preserve"> </v>
      </c>
      <c r="CL56" s="407" t="str">
        <f t="shared" si="94"/>
        <v xml:space="preserve"> </v>
      </c>
      <c r="CM56" s="407" t="str">
        <f t="shared" si="94"/>
        <v xml:space="preserve"> </v>
      </c>
      <c r="CN56" s="407" t="str">
        <f t="shared" si="94"/>
        <v xml:space="preserve"> </v>
      </c>
      <c r="CO56" s="407" t="str">
        <f t="shared" si="94"/>
        <v xml:space="preserve"> </v>
      </c>
      <c r="CP56" s="407" t="str">
        <f t="shared" si="94"/>
        <v xml:space="preserve"> </v>
      </c>
      <c r="CQ56" s="407" t="str">
        <f t="shared" si="94"/>
        <v xml:space="preserve"> </v>
      </c>
      <c r="CR56" s="407" t="str">
        <f t="shared" si="94"/>
        <v xml:space="preserve"> </v>
      </c>
      <c r="CS56" s="407" t="str">
        <f t="shared" si="94"/>
        <v xml:space="preserve"> </v>
      </c>
      <c r="CT56" s="407" t="str">
        <f t="shared" si="94"/>
        <v xml:space="preserve"> </v>
      </c>
      <c r="CU56" s="407" t="str">
        <f t="shared" si="94"/>
        <v xml:space="preserve"> </v>
      </c>
      <c r="CV56" s="407" t="str">
        <f t="shared" si="94"/>
        <v xml:space="preserve"> </v>
      </c>
      <c r="CW56" s="407" t="str">
        <f t="shared" si="94"/>
        <v xml:space="preserve"> </v>
      </c>
      <c r="CX56" s="407" t="str">
        <f t="shared" si="94"/>
        <v xml:space="preserve"> </v>
      </c>
      <c r="CY56" s="407" t="str">
        <f t="shared" si="101"/>
        <v xml:space="preserve"> </v>
      </c>
      <c r="CZ56" s="407" t="str">
        <f t="shared" si="101"/>
        <v xml:space="preserve"> </v>
      </c>
      <c r="DA56" s="407" t="str">
        <f t="shared" si="101"/>
        <v xml:space="preserve"> </v>
      </c>
      <c r="DB56" s="407" t="str">
        <f t="shared" si="101"/>
        <v xml:space="preserve"> </v>
      </c>
      <c r="DC56" s="407" t="str">
        <f t="shared" si="101"/>
        <v xml:space="preserve"> </v>
      </c>
      <c r="DD56" s="407" t="str">
        <f t="shared" si="101"/>
        <v xml:space="preserve"> </v>
      </c>
      <c r="DE56" s="407" t="str">
        <f t="shared" si="101"/>
        <v xml:space="preserve"> </v>
      </c>
      <c r="DF56" s="407" t="str">
        <f t="shared" si="101"/>
        <v xml:space="preserve"> </v>
      </c>
      <c r="DG56" s="407" t="str">
        <f t="shared" si="96"/>
        <v xml:space="preserve"> </v>
      </c>
      <c r="DH56" s="407" t="str">
        <f t="shared" si="96"/>
        <v xml:space="preserve"> </v>
      </c>
      <c r="DI56" s="407" t="str">
        <f t="shared" si="96"/>
        <v xml:space="preserve"> </v>
      </c>
      <c r="DJ56" s="407" t="str">
        <f t="shared" si="96"/>
        <v xml:space="preserve"> </v>
      </c>
      <c r="DK56" s="407" t="str">
        <f t="shared" si="96"/>
        <v xml:space="preserve"> </v>
      </c>
      <c r="DL56" s="407" t="str">
        <f t="shared" si="96"/>
        <v xml:space="preserve"> </v>
      </c>
      <c r="DM56" s="407" t="str">
        <f t="shared" si="96"/>
        <v xml:space="preserve"> </v>
      </c>
      <c r="DN56" s="407" t="str">
        <f t="shared" si="96"/>
        <v xml:space="preserve"> </v>
      </c>
      <c r="DO56" s="407" t="str">
        <f t="shared" si="96"/>
        <v xml:space="preserve"> </v>
      </c>
      <c r="DP56" s="407" t="str">
        <f t="shared" si="96"/>
        <v xml:space="preserve"> </v>
      </c>
      <c r="DQ56" s="407" t="str">
        <f t="shared" si="97"/>
        <v xml:space="preserve"> </v>
      </c>
      <c r="DR56" s="407" t="str">
        <f t="shared" si="97"/>
        <v xml:space="preserve"> </v>
      </c>
      <c r="DS56" s="407" t="str">
        <f t="shared" si="97"/>
        <v xml:space="preserve"> </v>
      </c>
      <c r="DT56" s="407" t="str">
        <f t="shared" si="97"/>
        <v xml:space="preserve"> </v>
      </c>
      <c r="DU56" s="407" t="str">
        <f t="shared" si="97"/>
        <v xml:space="preserve"> </v>
      </c>
      <c r="DV56" s="407" t="str">
        <f t="shared" si="97"/>
        <v xml:space="preserve"> </v>
      </c>
      <c r="DW56" s="407" t="str">
        <f t="shared" si="97"/>
        <v xml:space="preserve"> </v>
      </c>
      <c r="DX56" s="407" t="str">
        <f t="shared" si="97"/>
        <v xml:space="preserve"> </v>
      </c>
      <c r="DY56" s="407" t="str">
        <f t="shared" si="97"/>
        <v xml:space="preserve"> </v>
      </c>
      <c r="DZ56" s="407" t="str">
        <f t="shared" si="97"/>
        <v xml:space="preserve"> </v>
      </c>
      <c r="EA56" s="407" t="str">
        <f t="shared" si="97"/>
        <v xml:space="preserve"> </v>
      </c>
      <c r="EB56" s="407" t="str">
        <f t="shared" si="97"/>
        <v xml:space="preserve"> </v>
      </c>
      <c r="EC56" s="407" t="str">
        <f t="shared" si="97"/>
        <v xml:space="preserve"> </v>
      </c>
      <c r="ED56" s="407" t="str">
        <f t="shared" si="97"/>
        <v xml:space="preserve"> </v>
      </c>
      <c r="EE56" s="407" t="str">
        <f t="shared" si="97"/>
        <v xml:space="preserve"> </v>
      </c>
    </row>
    <row r="57" spans="1:135" s="408" customFormat="1" x14ac:dyDescent="0.25">
      <c r="A57" s="390"/>
      <c r="B57" s="391" t="str">
        <f t="shared" si="86"/>
        <v>-</v>
      </c>
      <c r="C57" s="393"/>
      <c r="D57" s="393"/>
      <c r="E57" s="394"/>
      <c r="F57" s="409"/>
      <c r="G57" s="410"/>
      <c r="H57" s="410"/>
      <c r="I57" s="410"/>
      <c r="J57" s="411"/>
      <c r="K57" s="412"/>
      <c r="L57" s="413"/>
      <c r="M57" s="411"/>
      <c r="N57" s="414"/>
      <c r="O57" s="415"/>
      <c r="P57" s="401"/>
      <c r="Q57" s="402" t="str">
        <f t="shared" si="78"/>
        <v xml:space="preserve"> - </v>
      </c>
      <c r="R57" s="402" t="str">
        <f t="shared" si="102"/>
        <v xml:space="preserve"> - </v>
      </c>
      <c r="S57" s="403" t="str">
        <f t="shared" si="103"/>
        <v xml:space="preserve"> - </v>
      </c>
      <c r="T57" s="403" t="str">
        <f t="shared" si="36"/>
        <v xml:space="preserve"> - </v>
      </c>
      <c r="U57" s="404"/>
      <c r="V57" s="404"/>
      <c r="W57" s="405"/>
      <c r="X57" s="406" t="str">
        <f t="shared" si="98"/>
        <v xml:space="preserve"> </v>
      </c>
      <c r="Y57" s="406" t="str">
        <f t="shared" si="98"/>
        <v xml:space="preserve"> </v>
      </c>
      <c r="Z57" s="406" t="str">
        <f t="shared" si="98"/>
        <v xml:space="preserve"> </v>
      </c>
      <c r="AA57" s="406" t="str">
        <f t="shared" si="98"/>
        <v xml:space="preserve"> </v>
      </c>
      <c r="AB57" s="406" t="str">
        <f t="shared" si="98"/>
        <v xml:space="preserve"> </v>
      </c>
      <c r="AC57" s="406" t="str">
        <f t="shared" si="98"/>
        <v xml:space="preserve"> </v>
      </c>
      <c r="AD57" s="406" t="str">
        <f t="shared" si="98"/>
        <v xml:space="preserve"> </v>
      </c>
      <c r="AE57" s="406" t="str">
        <f t="shared" si="98"/>
        <v xml:space="preserve"> </v>
      </c>
      <c r="AF57" s="406" t="str">
        <f t="shared" si="98"/>
        <v xml:space="preserve"> </v>
      </c>
      <c r="AG57" s="406" t="str">
        <f t="shared" si="98"/>
        <v xml:space="preserve"> </v>
      </c>
      <c r="AH57" s="406" t="str">
        <f t="shared" si="98"/>
        <v xml:space="preserve"> </v>
      </c>
      <c r="AI57" s="406" t="str">
        <f t="shared" si="98"/>
        <v xml:space="preserve"> </v>
      </c>
      <c r="AJ57" s="406" t="str">
        <f t="shared" si="98"/>
        <v xml:space="preserve"> </v>
      </c>
      <c r="AK57" s="406" t="str">
        <f t="shared" si="98"/>
        <v xml:space="preserve"> </v>
      </c>
      <c r="AL57" s="406" t="str">
        <f t="shared" si="98"/>
        <v xml:space="preserve"> </v>
      </c>
      <c r="AM57" s="406" t="str">
        <f t="shared" si="98"/>
        <v xml:space="preserve"> </v>
      </c>
      <c r="AN57" s="406" t="str">
        <f t="shared" si="90"/>
        <v xml:space="preserve"> </v>
      </c>
      <c r="AO57" s="406" t="str">
        <f t="shared" si="90"/>
        <v xml:space="preserve"> </v>
      </c>
      <c r="AP57" s="406" t="str">
        <f t="shared" si="90"/>
        <v xml:space="preserve"> </v>
      </c>
      <c r="AQ57" s="406" t="str">
        <f t="shared" si="90"/>
        <v xml:space="preserve"> </v>
      </c>
      <c r="AR57" s="406" t="str">
        <f t="shared" si="90"/>
        <v xml:space="preserve"> </v>
      </c>
      <c r="AS57" s="406" t="str">
        <f t="shared" si="90"/>
        <v xml:space="preserve"> </v>
      </c>
      <c r="AT57" s="406" t="str">
        <f t="shared" si="90"/>
        <v xml:space="preserve"> </v>
      </c>
      <c r="AU57" s="406" t="str">
        <f t="shared" si="90"/>
        <v xml:space="preserve"> </v>
      </c>
      <c r="AV57" s="406" t="str">
        <f t="shared" si="90"/>
        <v xml:space="preserve"> </v>
      </c>
      <c r="AW57" s="406" t="str">
        <f t="shared" si="90"/>
        <v xml:space="preserve"> </v>
      </c>
      <c r="AX57" s="406" t="str">
        <f t="shared" si="90"/>
        <v xml:space="preserve"> </v>
      </c>
      <c r="AY57" s="406" t="str">
        <f t="shared" si="90"/>
        <v xml:space="preserve"> </v>
      </c>
      <c r="AZ57" s="406" t="str">
        <f t="shared" si="90"/>
        <v xml:space="preserve"> </v>
      </c>
      <c r="BA57" s="406" t="str">
        <f t="shared" si="90"/>
        <v xml:space="preserve"> </v>
      </c>
      <c r="BB57" s="406" t="str">
        <f t="shared" si="91"/>
        <v xml:space="preserve"> </v>
      </c>
      <c r="BC57" s="406" t="str">
        <f t="shared" si="91"/>
        <v xml:space="preserve"> </v>
      </c>
      <c r="BD57" s="406" t="str">
        <f t="shared" si="91"/>
        <v xml:space="preserve"> </v>
      </c>
      <c r="BE57" s="406" t="str">
        <f t="shared" si="91"/>
        <v xml:space="preserve"> </v>
      </c>
      <c r="BF57" s="406" t="str">
        <f t="shared" si="91"/>
        <v xml:space="preserve"> </v>
      </c>
      <c r="BG57" s="406" t="str">
        <f t="shared" si="91"/>
        <v xml:space="preserve"> </v>
      </c>
      <c r="BH57" s="406" t="str">
        <f t="shared" si="91"/>
        <v xml:space="preserve"> </v>
      </c>
      <c r="BI57" s="406" t="str">
        <f t="shared" si="91"/>
        <v xml:space="preserve"> </v>
      </c>
      <c r="BJ57" s="406" t="str">
        <f t="shared" si="91"/>
        <v xml:space="preserve"> </v>
      </c>
      <c r="BK57" s="406" t="str">
        <f t="shared" si="91"/>
        <v xml:space="preserve"> </v>
      </c>
      <c r="BL57" s="406" t="str">
        <f t="shared" si="91"/>
        <v xml:space="preserve"> </v>
      </c>
      <c r="BM57" s="406" t="str">
        <f t="shared" si="91"/>
        <v xml:space="preserve"> </v>
      </c>
      <c r="BN57" s="406" t="str">
        <f t="shared" si="91"/>
        <v xml:space="preserve"> </v>
      </c>
      <c r="BO57" s="406" t="str">
        <f t="shared" si="91"/>
        <v xml:space="preserve"> </v>
      </c>
      <c r="BP57" s="406" t="str">
        <f t="shared" si="91"/>
        <v xml:space="preserve"> </v>
      </c>
      <c r="BQ57" s="406" t="str">
        <f t="shared" si="91"/>
        <v xml:space="preserve"> </v>
      </c>
      <c r="BR57" s="406" t="str">
        <f t="shared" si="99"/>
        <v xml:space="preserve"> </v>
      </c>
      <c r="BS57" s="406" t="str">
        <f t="shared" si="99"/>
        <v xml:space="preserve"> </v>
      </c>
      <c r="BT57" s="406" t="str">
        <f t="shared" si="99"/>
        <v xml:space="preserve"> </v>
      </c>
      <c r="BU57" s="406" t="str">
        <f t="shared" si="99"/>
        <v xml:space="preserve"> </v>
      </c>
      <c r="BV57" s="406" t="str">
        <f t="shared" si="99"/>
        <v xml:space="preserve"> </v>
      </c>
      <c r="BW57" s="406" t="str">
        <f t="shared" si="99"/>
        <v xml:space="preserve"> </v>
      </c>
      <c r="BX57" s="406" t="str">
        <f t="shared" si="99"/>
        <v xml:space="preserve"> </v>
      </c>
      <c r="BY57" s="406" t="str">
        <f t="shared" si="99"/>
        <v xml:space="preserve"> </v>
      </c>
      <c r="BZ57" s="406" t="str">
        <f t="shared" si="99"/>
        <v xml:space="preserve"> </v>
      </c>
      <c r="CA57" s="406" t="str">
        <f t="shared" si="99"/>
        <v xml:space="preserve"> </v>
      </c>
      <c r="CB57" s="407" t="str">
        <f t="shared" si="99"/>
        <v xml:space="preserve"> </v>
      </c>
      <c r="CC57" s="407" t="str">
        <f t="shared" si="99"/>
        <v xml:space="preserve"> </v>
      </c>
      <c r="CD57" s="407" t="str">
        <f t="shared" si="99"/>
        <v xml:space="preserve"> </v>
      </c>
      <c r="CE57" s="407" t="str">
        <f t="shared" si="99"/>
        <v xml:space="preserve"> </v>
      </c>
      <c r="CF57" s="407" t="str">
        <f t="shared" si="99"/>
        <v xml:space="preserve"> </v>
      </c>
      <c r="CG57" s="407" t="str">
        <f t="shared" si="99"/>
        <v xml:space="preserve"> </v>
      </c>
      <c r="CH57" s="407" t="str">
        <f t="shared" si="100"/>
        <v xml:space="preserve"> </v>
      </c>
      <c r="CI57" s="407" t="str">
        <f t="shared" si="94"/>
        <v xml:space="preserve"> </v>
      </c>
      <c r="CJ57" s="407" t="str">
        <f t="shared" si="94"/>
        <v xml:space="preserve"> </v>
      </c>
      <c r="CK57" s="407" t="str">
        <f t="shared" si="94"/>
        <v xml:space="preserve"> </v>
      </c>
      <c r="CL57" s="407" t="str">
        <f t="shared" si="94"/>
        <v xml:space="preserve"> </v>
      </c>
      <c r="CM57" s="407" t="str">
        <f t="shared" si="94"/>
        <v xml:space="preserve"> </v>
      </c>
      <c r="CN57" s="407" t="str">
        <f t="shared" si="94"/>
        <v xml:space="preserve"> </v>
      </c>
      <c r="CO57" s="407" t="str">
        <f t="shared" si="94"/>
        <v xml:space="preserve"> </v>
      </c>
      <c r="CP57" s="407" t="str">
        <f t="shared" si="94"/>
        <v xml:space="preserve"> </v>
      </c>
      <c r="CQ57" s="407" t="str">
        <f t="shared" si="94"/>
        <v xml:space="preserve"> </v>
      </c>
      <c r="CR57" s="407" t="str">
        <f t="shared" si="94"/>
        <v xml:space="preserve"> </v>
      </c>
      <c r="CS57" s="407" t="str">
        <f t="shared" si="94"/>
        <v xml:space="preserve"> </v>
      </c>
      <c r="CT57" s="407" t="str">
        <f t="shared" si="94"/>
        <v xml:space="preserve"> </v>
      </c>
      <c r="CU57" s="407" t="str">
        <f t="shared" si="94"/>
        <v xml:space="preserve"> </v>
      </c>
      <c r="CV57" s="407" t="str">
        <f t="shared" si="94"/>
        <v xml:space="preserve"> </v>
      </c>
      <c r="CW57" s="407" t="str">
        <f t="shared" si="94"/>
        <v xml:space="preserve"> </v>
      </c>
      <c r="CX57" s="407" t="str">
        <f t="shared" si="94"/>
        <v xml:space="preserve"> </v>
      </c>
      <c r="CY57" s="407" t="str">
        <f t="shared" si="101"/>
        <v xml:space="preserve"> </v>
      </c>
      <c r="CZ57" s="407" t="str">
        <f t="shared" si="101"/>
        <v xml:space="preserve"> </v>
      </c>
      <c r="DA57" s="407" t="str">
        <f t="shared" si="101"/>
        <v xml:space="preserve"> </v>
      </c>
      <c r="DB57" s="407" t="str">
        <f t="shared" si="101"/>
        <v xml:space="preserve"> </v>
      </c>
      <c r="DC57" s="407" t="str">
        <f t="shared" si="101"/>
        <v xml:space="preserve"> </v>
      </c>
      <c r="DD57" s="407" t="str">
        <f t="shared" si="101"/>
        <v xml:space="preserve"> </v>
      </c>
      <c r="DE57" s="407" t="str">
        <f t="shared" si="101"/>
        <v xml:space="preserve"> </v>
      </c>
      <c r="DF57" s="407" t="str">
        <f t="shared" si="101"/>
        <v xml:space="preserve"> </v>
      </c>
      <c r="DG57" s="407" t="str">
        <f t="shared" si="96"/>
        <v xml:space="preserve"> </v>
      </c>
      <c r="DH57" s="407" t="str">
        <f t="shared" si="96"/>
        <v xml:space="preserve"> </v>
      </c>
      <c r="DI57" s="407" t="str">
        <f t="shared" si="96"/>
        <v xml:space="preserve"> </v>
      </c>
      <c r="DJ57" s="407" t="str">
        <f t="shared" si="96"/>
        <v xml:space="preserve"> </v>
      </c>
      <c r="DK57" s="407" t="str">
        <f t="shared" si="96"/>
        <v xml:space="preserve"> </v>
      </c>
      <c r="DL57" s="407" t="str">
        <f t="shared" si="96"/>
        <v xml:space="preserve"> </v>
      </c>
      <c r="DM57" s="407" t="str">
        <f t="shared" si="96"/>
        <v xml:space="preserve"> </v>
      </c>
      <c r="DN57" s="407" t="str">
        <f t="shared" si="96"/>
        <v xml:space="preserve"> </v>
      </c>
      <c r="DO57" s="407" t="str">
        <f t="shared" si="96"/>
        <v xml:space="preserve"> </v>
      </c>
      <c r="DP57" s="407" t="str">
        <f t="shared" si="96"/>
        <v xml:space="preserve"> </v>
      </c>
      <c r="DQ57" s="407" t="str">
        <f t="shared" si="97"/>
        <v xml:space="preserve"> </v>
      </c>
      <c r="DR57" s="407" t="str">
        <f t="shared" si="97"/>
        <v xml:space="preserve"> </v>
      </c>
      <c r="DS57" s="407" t="str">
        <f t="shared" si="97"/>
        <v xml:space="preserve"> </v>
      </c>
      <c r="DT57" s="407" t="str">
        <f t="shared" si="97"/>
        <v xml:space="preserve"> </v>
      </c>
      <c r="DU57" s="407" t="str">
        <f t="shared" si="97"/>
        <v xml:space="preserve"> </v>
      </c>
      <c r="DV57" s="407" t="str">
        <f t="shared" si="97"/>
        <v xml:space="preserve"> </v>
      </c>
      <c r="DW57" s="407" t="str">
        <f t="shared" si="97"/>
        <v xml:space="preserve"> </v>
      </c>
      <c r="DX57" s="407" t="str">
        <f t="shared" si="97"/>
        <v xml:space="preserve"> </v>
      </c>
      <c r="DY57" s="407" t="str">
        <f t="shared" si="97"/>
        <v xml:space="preserve"> </v>
      </c>
      <c r="DZ57" s="407" t="str">
        <f t="shared" si="97"/>
        <v xml:space="preserve"> </v>
      </c>
      <c r="EA57" s="407" t="str">
        <f t="shared" si="97"/>
        <v xml:space="preserve"> </v>
      </c>
      <c r="EB57" s="407" t="str">
        <f t="shared" si="97"/>
        <v xml:space="preserve"> </v>
      </c>
      <c r="EC57" s="407" t="str">
        <f t="shared" si="97"/>
        <v xml:space="preserve"> </v>
      </c>
      <c r="ED57" s="407" t="str">
        <f t="shared" si="97"/>
        <v xml:space="preserve"> </v>
      </c>
      <c r="EE57" s="407" t="str">
        <f t="shared" si="97"/>
        <v xml:space="preserve"> </v>
      </c>
    </row>
    <row r="58" spans="1:135" s="408" customFormat="1" x14ac:dyDescent="0.25">
      <c r="A58" s="390"/>
      <c r="B58" s="391" t="str">
        <f t="shared" si="86"/>
        <v>-</v>
      </c>
      <c r="C58" s="393"/>
      <c r="D58" s="393"/>
      <c r="E58" s="394"/>
      <c r="F58" s="409"/>
      <c r="G58" s="410"/>
      <c r="H58" s="410"/>
      <c r="I58" s="410"/>
      <c r="J58" s="411"/>
      <c r="K58" s="412"/>
      <c r="L58" s="413"/>
      <c r="M58" s="411"/>
      <c r="N58" s="414"/>
      <c r="O58" s="415"/>
      <c r="P58" s="401"/>
      <c r="Q58" s="402" t="str">
        <f t="shared" si="78"/>
        <v xml:space="preserve"> - </v>
      </c>
      <c r="R58" s="402" t="str">
        <f t="shared" si="102"/>
        <v xml:space="preserve"> - </v>
      </c>
      <c r="S58" s="403" t="str">
        <f t="shared" si="103"/>
        <v xml:space="preserve"> - </v>
      </c>
      <c r="T58" s="403" t="str">
        <f t="shared" si="36"/>
        <v xml:space="preserve"> - </v>
      </c>
      <c r="U58" s="404"/>
      <c r="V58" s="404"/>
      <c r="W58" s="405"/>
      <c r="X58" s="406" t="str">
        <f t="shared" si="98"/>
        <v xml:space="preserve"> </v>
      </c>
      <c r="Y58" s="406" t="str">
        <f t="shared" si="98"/>
        <v xml:space="preserve"> </v>
      </c>
      <c r="Z58" s="406" t="str">
        <f t="shared" si="98"/>
        <v xml:space="preserve"> </v>
      </c>
      <c r="AA58" s="406" t="str">
        <f t="shared" si="98"/>
        <v xml:space="preserve"> </v>
      </c>
      <c r="AB58" s="406" t="str">
        <f t="shared" si="98"/>
        <v xml:space="preserve"> </v>
      </c>
      <c r="AC58" s="406" t="str">
        <f t="shared" si="98"/>
        <v xml:space="preserve"> </v>
      </c>
      <c r="AD58" s="406" t="str">
        <f t="shared" si="98"/>
        <v xml:space="preserve"> </v>
      </c>
      <c r="AE58" s="406" t="str">
        <f t="shared" si="98"/>
        <v xml:space="preserve"> </v>
      </c>
      <c r="AF58" s="406" t="str">
        <f t="shared" si="98"/>
        <v xml:space="preserve"> </v>
      </c>
      <c r="AG58" s="406" t="str">
        <f t="shared" si="98"/>
        <v xml:space="preserve"> </v>
      </c>
      <c r="AH58" s="406" t="str">
        <f t="shared" si="98"/>
        <v xml:space="preserve"> </v>
      </c>
      <c r="AI58" s="406" t="str">
        <f t="shared" si="98"/>
        <v xml:space="preserve"> </v>
      </c>
      <c r="AJ58" s="406" t="str">
        <f t="shared" si="98"/>
        <v xml:space="preserve"> </v>
      </c>
      <c r="AK58" s="406" t="str">
        <f t="shared" si="98"/>
        <v xml:space="preserve"> </v>
      </c>
      <c r="AL58" s="406" t="str">
        <f t="shared" si="98"/>
        <v xml:space="preserve"> </v>
      </c>
      <c r="AM58" s="406" t="str">
        <f t="shared" si="98"/>
        <v xml:space="preserve"> </v>
      </c>
      <c r="AN58" s="406" t="str">
        <f t="shared" si="90"/>
        <v xml:space="preserve"> </v>
      </c>
      <c r="AO58" s="406" t="str">
        <f t="shared" si="90"/>
        <v xml:space="preserve"> </v>
      </c>
      <c r="AP58" s="406" t="str">
        <f t="shared" si="90"/>
        <v xml:space="preserve"> </v>
      </c>
      <c r="AQ58" s="406" t="str">
        <f t="shared" si="90"/>
        <v xml:space="preserve"> </v>
      </c>
      <c r="AR58" s="406" t="str">
        <f t="shared" si="90"/>
        <v xml:space="preserve"> </v>
      </c>
      <c r="AS58" s="406" t="str">
        <f t="shared" si="90"/>
        <v xml:space="preserve"> </v>
      </c>
      <c r="AT58" s="406" t="str">
        <f t="shared" si="90"/>
        <v xml:space="preserve"> </v>
      </c>
      <c r="AU58" s="406" t="str">
        <f t="shared" si="90"/>
        <v xml:space="preserve"> </v>
      </c>
      <c r="AV58" s="406" t="str">
        <f t="shared" si="90"/>
        <v xml:space="preserve"> </v>
      </c>
      <c r="AW58" s="406" t="str">
        <f t="shared" si="90"/>
        <v xml:space="preserve"> </v>
      </c>
      <c r="AX58" s="406" t="str">
        <f t="shared" si="90"/>
        <v xml:space="preserve"> </v>
      </c>
      <c r="AY58" s="406" t="str">
        <f t="shared" si="90"/>
        <v xml:space="preserve"> </v>
      </c>
      <c r="AZ58" s="406" t="str">
        <f t="shared" si="90"/>
        <v xml:space="preserve"> </v>
      </c>
      <c r="BA58" s="406" t="str">
        <f t="shared" si="90"/>
        <v xml:space="preserve"> </v>
      </c>
      <c r="BB58" s="406" t="str">
        <f t="shared" si="91"/>
        <v xml:space="preserve"> </v>
      </c>
      <c r="BC58" s="406" t="str">
        <f t="shared" si="91"/>
        <v xml:space="preserve"> </v>
      </c>
      <c r="BD58" s="406" t="str">
        <f t="shared" si="91"/>
        <v xml:space="preserve"> </v>
      </c>
      <c r="BE58" s="406" t="str">
        <f t="shared" si="91"/>
        <v xml:space="preserve"> </v>
      </c>
      <c r="BF58" s="406" t="str">
        <f t="shared" si="91"/>
        <v xml:space="preserve"> </v>
      </c>
      <c r="BG58" s="406" t="str">
        <f t="shared" si="91"/>
        <v xml:space="preserve"> </v>
      </c>
      <c r="BH58" s="406" t="str">
        <f t="shared" si="91"/>
        <v xml:space="preserve"> </v>
      </c>
      <c r="BI58" s="406" t="str">
        <f t="shared" si="91"/>
        <v xml:space="preserve"> </v>
      </c>
      <c r="BJ58" s="406" t="str">
        <f t="shared" si="91"/>
        <v xml:space="preserve"> </v>
      </c>
      <c r="BK58" s="406" t="str">
        <f t="shared" si="91"/>
        <v xml:space="preserve"> </v>
      </c>
      <c r="BL58" s="406" t="str">
        <f t="shared" si="91"/>
        <v xml:space="preserve"> </v>
      </c>
      <c r="BM58" s="406" t="str">
        <f t="shared" si="91"/>
        <v xml:space="preserve"> </v>
      </c>
      <c r="BN58" s="406" t="str">
        <f t="shared" si="91"/>
        <v xml:space="preserve"> </v>
      </c>
      <c r="BO58" s="406" t="str">
        <f t="shared" si="91"/>
        <v xml:space="preserve"> </v>
      </c>
      <c r="BP58" s="406" t="str">
        <f t="shared" si="91"/>
        <v xml:space="preserve"> </v>
      </c>
      <c r="BQ58" s="406" t="str">
        <f t="shared" si="91"/>
        <v xml:space="preserve"> </v>
      </c>
      <c r="BR58" s="406" t="str">
        <f t="shared" si="99"/>
        <v xml:space="preserve"> </v>
      </c>
      <c r="BS58" s="406" t="str">
        <f t="shared" si="99"/>
        <v xml:space="preserve"> </v>
      </c>
      <c r="BT58" s="406" t="str">
        <f t="shared" si="99"/>
        <v xml:space="preserve"> </v>
      </c>
      <c r="BU58" s="406" t="str">
        <f t="shared" si="99"/>
        <v xml:space="preserve"> </v>
      </c>
      <c r="BV58" s="406" t="str">
        <f t="shared" si="99"/>
        <v xml:space="preserve"> </v>
      </c>
      <c r="BW58" s="406" t="str">
        <f t="shared" si="99"/>
        <v xml:space="preserve"> </v>
      </c>
      <c r="BX58" s="406" t="str">
        <f t="shared" si="99"/>
        <v xml:space="preserve"> </v>
      </c>
      <c r="BY58" s="406" t="str">
        <f t="shared" si="99"/>
        <v xml:space="preserve"> </v>
      </c>
      <c r="BZ58" s="406" t="str">
        <f t="shared" si="99"/>
        <v xml:space="preserve"> </v>
      </c>
      <c r="CA58" s="406" t="str">
        <f t="shared" si="99"/>
        <v xml:space="preserve"> </v>
      </c>
      <c r="CB58" s="407" t="str">
        <f t="shared" si="99"/>
        <v xml:space="preserve"> </v>
      </c>
      <c r="CC58" s="407" t="str">
        <f t="shared" si="99"/>
        <v xml:space="preserve"> </v>
      </c>
      <c r="CD58" s="407" t="str">
        <f t="shared" si="99"/>
        <v xml:space="preserve"> </v>
      </c>
      <c r="CE58" s="407" t="str">
        <f t="shared" si="99"/>
        <v xml:space="preserve"> </v>
      </c>
      <c r="CF58" s="407" t="str">
        <f t="shared" si="99"/>
        <v xml:space="preserve"> </v>
      </c>
      <c r="CG58" s="407" t="str">
        <f t="shared" si="99"/>
        <v xml:space="preserve"> </v>
      </c>
      <c r="CH58" s="407" t="str">
        <f t="shared" si="100"/>
        <v xml:space="preserve"> </v>
      </c>
      <c r="CI58" s="407" t="str">
        <f t="shared" si="94"/>
        <v xml:space="preserve"> </v>
      </c>
      <c r="CJ58" s="407" t="str">
        <f t="shared" si="94"/>
        <v xml:space="preserve"> </v>
      </c>
      <c r="CK58" s="407" t="str">
        <f t="shared" si="94"/>
        <v xml:space="preserve"> </v>
      </c>
      <c r="CL58" s="407" t="str">
        <f t="shared" si="94"/>
        <v xml:space="preserve"> </v>
      </c>
      <c r="CM58" s="407" t="str">
        <f t="shared" si="94"/>
        <v xml:space="preserve"> </v>
      </c>
      <c r="CN58" s="407" t="str">
        <f t="shared" si="94"/>
        <v xml:space="preserve"> </v>
      </c>
      <c r="CO58" s="407" t="str">
        <f t="shared" si="94"/>
        <v xml:space="preserve"> </v>
      </c>
      <c r="CP58" s="407" t="str">
        <f t="shared" si="94"/>
        <v xml:space="preserve"> </v>
      </c>
      <c r="CQ58" s="407" t="str">
        <f t="shared" si="94"/>
        <v xml:space="preserve"> </v>
      </c>
      <c r="CR58" s="407" t="str">
        <f t="shared" si="94"/>
        <v xml:space="preserve"> </v>
      </c>
      <c r="CS58" s="407" t="str">
        <f t="shared" si="94"/>
        <v xml:space="preserve"> </v>
      </c>
      <c r="CT58" s="407" t="str">
        <f t="shared" si="94"/>
        <v xml:space="preserve"> </v>
      </c>
      <c r="CU58" s="407" t="str">
        <f t="shared" si="94"/>
        <v xml:space="preserve"> </v>
      </c>
      <c r="CV58" s="407" t="str">
        <f t="shared" si="94"/>
        <v xml:space="preserve"> </v>
      </c>
      <c r="CW58" s="407" t="str">
        <f t="shared" si="94"/>
        <v xml:space="preserve"> </v>
      </c>
      <c r="CX58" s="407" t="str">
        <f t="shared" si="94"/>
        <v xml:space="preserve"> </v>
      </c>
      <c r="CY58" s="407" t="str">
        <f t="shared" si="101"/>
        <v xml:space="preserve"> </v>
      </c>
      <c r="CZ58" s="407" t="str">
        <f t="shared" si="101"/>
        <v xml:space="preserve"> </v>
      </c>
      <c r="DA58" s="407" t="str">
        <f t="shared" si="101"/>
        <v xml:space="preserve"> </v>
      </c>
      <c r="DB58" s="407" t="str">
        <f t="shared" si="101"/>
        <v xml:space="preserve"> </v>
      </c>
      <c r="DC58" s="407" t="str">
        <f t="shared" si="101"/>
        <v xml:space="preserve"> </v>
      </c>
      <c r="DD58" s="407" t="str">
        <f t="shared" si="101"/>
        <v xml:space="preserve"> </v>
      </c>
      <c r="DE58" s="407" t="str">
        <f t="shared" si="101"/>
        <v xml:space="preserve"> </v>
      </c>
      <c r="DF58" s="407" t="str">
        <f t="shared" si="101"/>
        <v xml:space="preserve"> </v>
      </c>
      <c r="DG58" s="407" t="str">
        <f t="shared" si="96"/>
        <v xml:space="preserve"> </v>
      </c>
      <c r="DH58" s="407" t="str">
        <f t="shared" si="96"/>
        <v xml:space="preserve"> </v>
      </c>
      <c r="DI58" s="407" t="str">
        <f t="shared" si="96"/>
        <v xml:space="preserve"> </v>
      </c>
      <c r="DJ58" s="407" t="str">
        <f t="shared" si="96"/>
        <v xml:space="preserve"> </v>
      </c>
      <c r="DK58" s="407" t="str">
        <f t="shared" si="96"/>
        <v xml:space="preserve"> </v>
      </c>
      <c r="DL58" s="407" t="str">
        <f t="shared" si="96"/>
        <v xml:space="preserve"> </v>
      </c>
      <c r="DM58" s="407" t="str">
        <f t="shared" si="96"/>
        <v xml:space="preserve"> </v>
      </c>
      <c r="DN58" s="407" t="str">
        <f t="shared" si="96"/>
        <v xml:space="preserve"> </v>
      </c>
      <c r="DO58" s="407" t="str">
        <f t="shared" si="96"/>
        <v xml:space="preserve"> </v>
      </c>
      <c r="DP58" s="407" t="str">
        <f t="shared" si="96"/>
        <v xml:space="preserve"> </v>
      </c>
      <c r="DQ58" s="407" t="str">
        <f t="shared" si="97"/>
        <v xml:space="preserve"> </v>
      </c>
      <c r="DR58" s="407" t="str">
        <f t="shared" si="97"/>
        <v xml:space="preserve"> </v>
      </c>
      <c r="DS58" s="407" t="str">
        <f t="shared" si="97"/>
        <v xml:space="preserve"> </v>
      </c>
      <c r="DT58" s="407" t="str">
        <f t="shared" si="97"/>
        <v xml:space="preserve"> </v>
      </c>
      <c r="DU58" s="407" t="str">
        <f t="shared" si="97"/>
        <v xml:space="preserve"> </v>
      </c>
      <c r="DV58" s="407" t="str">
        <f t="shared" si="97"/>
        <v xml:space="preserve"> </v>
      </c>
      <c r="DW58" s="407" t="str">
        <f t="shared" si="97"/>
        <v xml:space="preserve"> </v>
      </c>
      <c r="DX58" s="407" t="str">
        <f t="shared" si="97"/>
        <v xml:space="preserve"> </v>
      </c>
      <c r="DY58" s="407" t="str">
        <f t="shared" si="97"/>
        <v xml:space="preserve"> </v>
      </c>
      <c r="DZ58" s="407" t="str">
        <f t="shared" si="97"/>
        <v xml:space="preserve"> </v>
      </c>
      <c r="EA58" s="407" t="str">
        <f t="shared" si="97"/>
        <v xml:space="preserve"> </v>
      </c>
      <c r="EB58" s="407" t="str">
        <f t="shared" si="97"/>
        <v xml:space="preserve"> </v>
      </c>
      <c r="EC58" s="407" t="str">
        <f t="shared" si="97"/>
        <v xml:space="preserve"> </v>
      </c>
      <c r="ED58" s="407" t="str">
        <f t="shared" si="97"/>
        <v xml:space="preserve"> </v>
      </c>
      <c r="EE58" s="407" t="str">
        <f t="shared" si="97"/>
        <v xml:space="preserve"> </v>
      </c>
    </row>
    <row r="59" spans="1:135" s="408" customFormat="1" x14ac:dyDescent="0.25">
      <c r="A59" s="390"/>
      <c r="B59" s="391" t="str">
        <f t="shared" si="86"/>
        <v>-</v>
      </c>
      <c r="C59" s="393"/>
      <c r="D59" s="393"/>
      <c r="E59" s="394"/>
      <c r="F59" s="409"/>
      <c r="G59" s="410"/>
      <c r="H59" s="410"/>
      <c r="I59" s="410"/>
      <c r="J59" s="411"/>
      <c r="K59" s="412"/>
      <c r="L59" s="413"/>
      <c r="M59" s="411"/>
      <c r="N59" s="414"/>
      <c r="O59" s="415"/>
      <c r="P59" s="401"/>
      <c r="Q59" s="402" t="str">
        <f t="shared" si="78"/>
        <v xml:space="preserve"> - </v>
      </c>
      <c r="R59" s="402" t="str">
        <f t="shared" si="102"/>
        <v xml:space="preserve"> - </v>
      </c>
      <c r="S59" s="403" t="str">
        <f t="shared" si="103"/>
        <v xml:space="preserve"> - </v>
      </c>
      <c r="T59" s="403" t="str">
        <f t="shared" si="36"/>
        <v xml:space="preserve"> - </v>
      </c>
      <c r="U59" s="404"/>
      <c r="V59" s="404"/>
      <c r="W59" s="405"/>
      <c r="X59" s="406" t="str">
        <f t="shared" si="98"/>
        <v xml:space="preserve"> </v>
      </c>
      <c r="Y59" s="406" t="str">
        <f t="shared" si="98"/>
        <v xml:space="preserve"> </v>
      </c>
      <c r="Z59" s="406" t="str">
        <f t="shared" si="98"/>
        <v xml:space="preserve"> </v>
      </c>
      <c r="AA59" s="406" t="str">
        <f t="shared" si="98"/>
        <v xml:space="preserve"> </v>
      </c>
      <c r="AB59" s="406" t="str">
        <f t="shared" si="98"/>
        <v xml:space="preserve"> </v>
      </c>
      <c r="AC59" s="406" t="str">
        <f t="shared" si="98"/>
        <v xml:space="preserve"> </v>
      </c>
      <c r="AD59" s="406" t="str">
        <f t="shared" si="98"/>
        <v xml:space="preserve"> </v>
      </c>
      <c r="AE59" s="406" t="str">
        <f t="shared" si="98"/>
        <v xml:space="preserve"> </v>
      </c>
      <c r="AF59" s="406" t="str">
        <f t="shared" si="98"/>
        <v xml:space="preserve"> </v>
      </c>
      <c r="AG59" s="406" t="str">
        <f t="shared" si="98"/>
        <v xml:space="preserve"> </v>
      </c>
      <c r="AH59" s="406" t="str">
        <f t="shared" si="98"/>
        <v xml:space="preserve"> </v>
      </c>
      <c r="AI59" s="406" t="str">
        <f t="shared" si="98"/>
        <v xml:space="preserve"> </v>
      </c>
      <c r="AJ59" s="406" t="str">
        <f t="shared" si="98"/>
        <v xml:space="preserve"> </v>
      </c>
      <c r="AK59" s="406" t="str">
        <f t="shared" si="98"/>
        <v xml:space="preserve"> </v>
      </c>
      <c r="AL59" s="406" t="str">
        <f t="shared" si="98"/>
        <v xml:space="preserve"> </v>
      </c>
      <c r="AM59" s="406" t="str">
        <f t="shared" si="98"/>
        <v xml:space="preserve"> </v>
      </c>
      <c r="AN59" s="406" t="str">
        <f t="shared" si="90"/>
        <v xml:space="preserve"> </v>
      </c>
      <c r="AO59" s="406" t="str">
        <f t="shared" si="90"/>
        <v xml:space="preserve"> </v>
      </c>
      <c r="AP59" s="406" t="str">
        <f t="shared" si="90"/>
        <v xml:space="preserve"> </v>
      </c>
      <c r="AQ59" s="406" t="str">
        <f t="shared" si="90"/>
        <v xml:space="preserve"> </v>
      </c>
      <c r="AR59" s="406" t="str">
        <f t="shared" si="90"/>
        <v xml:space="preserve"> </v>
      </c>
      <c r="AS59" s="406" t="str">
        <f t="shared" si="90"/>
        <v xml:space="preserve"> </v>
      </c>
      <c r="AT59" s="406" t="str">
        <f t="shared" si="90"/>
        <v xml:space="preserve"> </v>
      </c>
      <c r="AU59" s="406" t="str">
        <f t="shared" si="90"/>
        <v xml:space="preserve"> </v>
      </c>
      <c r="AV59" s="406" t="str">
        <f t="shared" si="90"/>
        <v xml:space="preserve"> </v>
      </c>
      <c r="AW59" s="406" t="str">
        <f t="shared" si="90"/>
        <v xml:space="preserve"> </v>
      </c>
      <c r="AX59" s="406" t="str">
        <f t="shared" si="90"/>
        <v xml:space="preserve"> </v>
      </c>
      <c r="AY59" s="406" t="str">
        <f t="shared" si="90"/>
        <v xml:space="preserve"> </v>
      </c>
      <c r="AZ59" s="406" t="str">
        <f t="shared" si="90"/>
        <v xml:space="preserve"> </v>
      </c>
      <c r="BA59" s="406" t="str">
        <f t="shared" si="90"/>
        <v xml:space="preserve"> </v>
      </c>
      <c r="BB59" s="406" t="str">
        <f t="shared" si="91"/>
        <v xml:space="preserve"> </v>
      </c>
      <c r="BC59" s="406" t="str">
        <f t="shared" si="91"/>
        <v xml:space="preserve"> </v>
      </c>
      <c r="BD59" s="406" t="str">
        <f t="shared" si="91"/>
        <v xml:space="preserve"> </v>
      </c>
      <c r="BE59" s="406" t="str">
        <f t="shared" si="91"/>
        <v xml:space="preserve"> </v>
      </c>
      <c r="BF59" s="406" t="str">
        <f t="shared" si="91"/>
        <v xml:space="preserve"> </v>
      </c>
      <c r="BG59" s="406" t="str">
        <f t="shared" si="91"/>
        <v xml:space="preserve"> </v>
      </c>
      <c r="BH59" s="406" t="str">
        <f t="shared" si="91"/>
        <v xml:space="preserve"> </v>
      </c>
      <c r="BI59" s="406" t="str">
        <f t="shared" si="91"/>
        <v xml:space="preserve"> </v>
      </c>
      <c r="BJ59" s="406" t="str">
        <f t="shared" si="91"/>
        <v xml:space="preserve"> </v>
      </c>
      <c r="BK59" s="406" t="str">
        <f t="shared" si="91"/>
        <v xml:space="preserve"> </v>
      </c>
      <c r="BL59" s="406" t="str">
        <f t="shared" si="91"/>
        <v xml:space="preserve"> </v>
      </c>
      <c r="BM59" s="406" t="str">
        <f t="shared" si="91"/>
        <v xml:space="preserve"> </v>
      </c>
      <c r="BN59" s="406" t="str">
        <f t="shared" si="91"/>
        <v xml:space="preserve"> </v>
      </c>
      <c r="BO59" s="406" t="str">
        <f t="shared" si="91"/>
        <v xml:space="preserve"> </v>
      </c>
      <c r="BP59" s="406" t="str">
        <f t="shared" si="91"/>
        <v xml:space="preserve"> </v>
      </c>
      <c r="BQ59" s="406" t="str">
        <f t="shared" si="91"/>
        <v xml:space="preserve"> </v>
      </c>
      <c r="BR59" s="406" t="str">
        <f t="shared" si="99"/>
        <v xml:space="preserve"> </v>
      </c>
      <c r="BS59" s="406" t="str">
        <f t="shared" si="99"/>
        <v xml:space="preserve"> </v>
      </c>
      <c r="BT59" s="406" t="str">
        <f t="shared" si="99"/>
        <v xml:space="preserve"> </v>
      </c>
      <c r="BU59" s="406" t="str">
        <f t="shared" si="99"/>
        <v xml:space="preserve"> </v>
      </c>
      <c r="BV59" s="406" t="str">
        <f t="shared" si="99"/>
        <v xml:space="preserve"> </v>
      </c>
      <c r="BW59" s="406" t="str">
        <f t="shared" si="99"/>
        <v xml:space="preserve"> </v>
      </c>
      <c r="BX59" s="406" t="str">
        <f t="shared" si="99"/>
        <v xml:space="preserve"> </v>
      </c>
      <c r="BY59" s="406" t="str">
        <f t="shared" si="99"/>
        <v xml:space="preserve"> </v>
      </c>
      <c r="BZ59" s="406" t="str">
        <f t="shared" si="99"/>
        <v xml:space="preserve"> </v>
      </c>
      <c r="CA59" s="406" t="str">
        <f t="shared" si="99"/>
        <v xml:space="preserve"> </v>
      </c>
      <c r="CB59" s="407" t="str">
        <f t="shared" si="99"/>
        <v xml:space="preserve"> </v>
      </c>
      <c r="CC59" s="407" t="str">
        <f t="shared" si="99"/>
        <v xml:space="preserve"> </v>
      </c>
      <c r="CD59" s="407" t="str">
        <f t="shared" si="99"/>
        <v xml:space="preserve"> </v>
      </c>
      <c r="CE59" s="407" t="str">
        <f t="shared" si="99"/>
        <v xml:space="preserve"> </v>
      </c>
      <c r="CF59" s="407" t="str">
        <f t="shared" si="99"/>
        <v xml:space="preserve"> </v>
      </c>
      <c r="CG59" s="407" t="str">
        <f t="shared" si="99"/>
        <v xml:space="preserve"> </v>
      </c>
      <c r="CH59" s="407" t="str">
        <f t="shared" si="100"/>
        <v xml:space="preserve"> </v>
      </c>
      <c r="CI59" s="407" t="str">
        <f t="shared" si="94"/>
        <v xml:space="preserve"> </v>
      </c>
      <c r="CJ59" s="407" t="str">
        <f t="shared" si="94"/>
        <v xml:space="preserve"> </v>
      </c>
      <c r="CK59" s="407" t="str">
        <f t="shared" si="94"/>
        <v xml:space="preserve"> </v>
      </c>
      <c r="CL59" s="407" t="str">
        <f t="shared" si="94"/>
        <v xml:space="preserve"> </v>
      </c>
      <c r="CM59" s="407" t="str">
        <f t="shared" si="94"/>
        <v xml:space="preserve"> </v>
      </c>
      <c r="CN59" s="407" t="str">
        <f t="shared" si="94"/>
        <v xml:space="preserve"> </v>
      </c>
      <c r="CO59" s="407" t="str">
        <f t="shared" si="94"/>
        <v xml:space="preserve"> </v>
      </c>
      <c r="CP59" s="407" t="str">
        <f t="shared" si="94"/>
        <v xml:space="preserve"> </v>
      </c>
      <c r="CQ59" s="407" t="str">
        <f t="shared" si="94"/>
        <v xml:space="preserve"> </v>
      </c>
      <c r="CR59" s="407" t="str">
        <f t="shared" si="94"/>
        <v xml:space="preserve"> </v>
      </c>
      <c r="CS59" s="407" t="str">
        <f t="shared" si="94"/>
        <v xml:space="preserve"> </v>
      </c>
      <c r="CT59" s="407" t="str">
        <f t="shared" si="94"/>
        <v xml:space="preserve"> </v>
      </c>
      <c r="CU59" s="407" t="str">
        <f t="shared" si="94"/>
        <v xml:space="preserve"> </v>
      </c>
      <c r="CV59" s="407" t="str">
        <f t="shared" si="94"/>
        <v xml:space="preserve"> </v>
      </c>
      <c r="CW59" s="407" t="str">
        <f t="shared" si="94"/>
        <v xml:space="preserve"> </v>
      </c>
      <c r="CX59" s="407" t="str">
        <f t="shared" si="94"/>
        <v xml:space="preserve"> </v>
      </c>
      <c r="CY59" s="407" t="str">
        <f t="shared" si="101"/>
        <v xml:space="preserve"> </v>
      </c>
      <c r="CZ59" s="407" t="str">
        <f t="shared" si="101"/>
        <v xml:space="preserve"> </v>
      </c>
      <c r="DA59" s="407" t="str">
        <f t="shared" si="101"/>
        <v xml:space="preserve"> </v>
      </c>
      <c r="DB59" s="407" t="str">
        <f t="shared" si="101"/>
        <v xml:space="preserve"> </v>
      </c>
      <c r="DC59" s="407" t="str">
        <f t="shared" si="101"/>
        <v xml:space="preserve"> </v>
      </c>
      <c r="DD59" s="407" t="str">
        <f t="shared" si="101"/>
        <v xml:space="preserve"> </v>
      </c>
      <c r="DE59" s="407" t="str">
        <f t="shared" si="101"/>
        <v xml:space="preserve"> </v>
      </c>
      <c r="DF59" s="407" t="str">
        <f t="shared" si="101"/>
        <v xml:space="preserve"> </v>
      </c>
      <c r="DG59" s="407" t="str">
        <f t="shared" si="96"/>
        <v xml:space="preserve"> </v>
      </c>
      <c r="DH59" s="407" t="str">
        <f t="shared" si="96"/>
        <v xml:space="preserve"> </v>
      </c>
      <c r="DI59" s="407" t="str">
        <f t="shared" si="96"/>
        <v xml:space="preserve"> </v>
      </c>
      <c r="DJ59" s="407" t="str">
        <f t="shared" si="96"/>
        <v xml:space="preserve"> </v>
      </c>
      <c r="DK59" s="407" t="str">
        <f t="shared" si="96"/>
        <v xml:space="preserve"> </v>
      </c>
      <c r="DL59" s="407" t="str">
        <f t="shared" si="96"/>
        <v xml:space="preserve"> </v>
      </c>
      <c r="DM59" s="407" t="str">
        <f t="shared" si="96"/>
        <v xml:space="preserve"> </v>
      </c>
      <c r="DN59" s="407" t="str">
        <f t="shared" si="96"/>
        <v xml:space="preserve"> </v>
      </c>
      <c r="DO59" s="407" t="str">
        <f t="shared" si="96"/>
        <v xml:space="preserve"> </v>
      </c>
      <c r="DP59" s="407" t="str">
        <f t="shared" si="96"/>
        <v xml:space="preserve"> </v>
      </c>
      <c r="DQ59" s="407" t="str">
        <f t="shared" si="97"/>
        <v xml:space="preserve"> </v>
      </c>
      <c r="DR59" s="407" t="str">
        <f t="shared" si="97"/>
        <v xml:space="preserve"> </v>
      </c>
      <c r="DS59" s="407" t="str">
        <f t="shared" si="97"/>
        <v xml:space="preserve"> </v>
      </c>
      <c r="DT59" s="407" t="str">
        <f t="shared" si="97"/>
        <v xml:space="preserve"> </v>
      </c>
      <c r="DU59" s="407" t="str">
        <f t="shared" si="97"/>
        <v xml:space="preserve"> </v>
      </c>
      <c r="DV59" s="407" t="str">
        <f t="shared" si="97"/>
        <v xml:space="preserve"> </v>
      </c>
      <c r="DW59" s="407" t="str">
        <f t="shared" si="97"/>
        <v xml:space="preserve"> </v>
      </c>
      <c r="DX59" s="407" t="str">
        <f t="shared" si="97"/>
        <v xml:space="preserve"> </v>
      </c>
      <c r="DY59" s="407" t="str">
        <f t="shared" si="97"/>
        <v xml:space="preserve"> </v>
      </c>
      <c r="DZ59" s="407" t="str">
        <f t="shared" si="97"/>
        <v xml:space="preserve"> </v>
      </c>
      <c r="EA59" s="407" t="str">
        <f t="shared" si="97"/>
        <v xml:space="preserve"> </v>
      </c>
      <c r="EB59" s="407" t="str">
        <f t="shared" si="97"/>
        <v xml:space="preserve"> </v>
      </c>
      <c r="EC59" s="407" t="str">
        <f t="shared" si="97"/>
        <v xml:space="preserve"> </v>
      </c>
      <c r="ED59" s="407" t="str">
        <f t="shared" si="97"/>
        <v xml:space="preserve"> </v>
      </c>
      <c r="EE59" s="407" t="str">
        <f t="shared" si="97"/>
        <v xml:space="preserve"> </v>
      </c>
    </row>
    <row r="60" spans="1:135" s="393" customFormat="1" x14ac:dyDescent="0.25">
      <c r="A60" s="416" t="s">
        <v>872</v>
      </c>
      <c r="B60" s="417"/>
      <c r="C60" s="418"/>
      <c r="D60" s="419"/>
      <c r="E60" s="420"/>
      <c r="F60" s="421"/>
      <c r="G60" s="419"/>
      <c r="H60" s="419"/>
      <c r="I60" s="419"/>
      <c r="J60" s="422"/>
      <c r="K60" s="421"/>
      <c r="L60" s="419"/>
      <c r="M60" s="422"/>
      <c r="N60" s="423"/>
      <c r="O60" s="424"/>
      <c r="P60" s="425"/>
      <c r="Q60" s="402" t="str">
        <f t="shared" si="78"/>
        <v xml:space="preserve"> - </v>
      </c>
      <c r="R60" s="402" t="str">
        <f t="shared" ref="R60" si="104">IF(Q60=" - "," - ",MAX(M60,IF(L60&lt;&gt;"",Q60+MAX(0,L60-1),WORKDAY.INTL(IF(NETWORKDAYS.INTL(Q60,Q60,weekend,holidays)=0,WORKDAY.INTL(Q60,1,weekend,holidays),Q60),MAX(0,K60-1),weekend,holidays))))</f>
        <v xml:space="preserve"> - </v>
      </c>
      <c r="S60" s="403" t="str">
        <f t="shared" ref="S60" si="105">IF(OR(NOT(ISNUMBER(Q60)),NOT(ISNUMBER(R60)))," - ",NETWORKDAYS.INTL(Q60,R60,weekend,holidays))</f>
        <v xml:space="preserve"> - </v>
      </c>
      <c r="T60" s="424"/>
      <c r="U60" s="426"/>
      <c r="V60" s="426"/>
      <c r="W60" s="424"/>
      <c r="X60" s="427"/>
      <c r="Y60" s="427"/>
      <c r="Z60" s="427"/>
      <c r="AA60" s="427"/>
      <c r="AB60" s="427"/>
      <c r="AC60" s="427"/>
      <c r="AD60" s="427"/>
      <c r="AE60" s="427"/>
      <c r="AF60" s="427"/>
      <c r="AG60" s="427"/>
      <c r="AH60" s="427"/>
      <c r="AI60" s="427"/>
      <c r="AJ60" s="427"/>
      <c r="AK60" s="427"/>
      <c r="AL60" s="427"/>
      <c r="AM60" s="427"/>
      <c r="AN60" s="427"/>
      <c r="AO60" s="427"/>
      <c r="AP60" s="427"/>
      <c r="AQ60" s="427"/>
      <c r="AR60" s="427"/>
      <c r="AS60" s="427"/>
      <c r="AT60" s="427"/>
      <c r="AU60" s="427"/>
      <c r="AV60" s="427"/>
      <c r="AW60" s="427"/>
      <c r="AX60" s="427"/>
      <c r="AY60" s="427"/>
      <c r="AZ60" s="427"/>
      <c r="BA60" s="427"/>
      <c r="BB60" s="427"/>
      <c r="BC60" s="427"/>
      <c r="BD60" s="427"/>
      <c r="BE60" s="427"/>
      <c r="BF60" s="427"/>
      <c r="BG60" s="427"/>
      <c r="BH60" s="427"/>
      <c r="BI60" s="427"/>
      <c r="BJ60" s="427"/>
      <c r="BK60" s="427"/>
      <c r="BL60" s="427"/>
      <c r="BM60" s="427"/>
      <c r="BN60" s="427"/>
      <c r="BO60" s="427"/>
      <c r="BP60" s="427"/>
      <c r="BQ60" s="427"/>
      <c r="BR60" s="427"/>
      <c r="BS60" s="427"/>
      <c r="BT60" s="427"/>
      <c r="BU60" s="427"/>
      <c r="BV60" s="427"/>
      <c r="BW60" s="427"/>
      <c r="BX60" s="427"/>
      <c r="BY60" s="427"/>
      <c r="BZ60" s="427"/>
      <c r="CA60" s="427"/>
      <c r="CB60" s="428"/>
      <c r="CC60" s="428"/>
      <c r="CD60" s="428"/>
      <c r="CE60" s="428"/>
      <c r="CF60" s="428"/>
      <c r="CG60" s="428"/>
      <c r="CH60" s="428"/>
      <c r="CI60" s="428"/>
      <c r="CJ60" s="428"/>
      <c r="CK60" s="428"/>
      <c r="CL60" s="428"/>
      <c r="CM60" s="428"/>
      <c r="CN60" s="428"/>
      <c r="CO60" s="428"/>
      <c r="CP60" s="428"/>
      <c r="CQ60" s="428"/>
      <c r="CR60" s="428"/>
      <c r="CS60" s="428"/>
      <c r="CT60" s="428"/>
      <c r="CU60" s="428"/>
      <c r="CV60" s="428"/>
      <c r="CW60" s="428"/>
      <c r="CX60" s="428"/>
      <c r="CY60" s="428"/>
      <c r="CZ60" s="428"/>
      <c r="DA60" s="428"/>
      <c r="DB60" s="428"/>
      <c r="DC60" s="428"/>
      <c r="DD60" s="428"/>
      <c r="DE60" s="428"/>
      <c r="DF60" s="428"/>
      <c r="DG60" s="428"/>
      <c r="DH60" s="428"/>
      <c r="DI60" s="428"/>
      <c r="DJ60" s="428"/>
      <c r="DK60" s="428"/>
      <c r="DL60" s="428"/>
      <c r="DM60" s="428"/>
      <c r="DN60" s="428"/>
      <c r="DO60" s="428"/>
      <c r="DP60" s="428"/>
      <c r="DQ60" s="428"/>
      <c r="DR60" s="428"/>
      <c r="DS60" s="428"/>
      <c r="DT60" s="428"/>
      <c r="DU60" s="428"/>
      <c r="DV60" s="428"/>
      <c r="DW60" s="428"/>
      <c r="DX60" s="428"/>
      <c r="DY60" s="428"/>
      <c r="DZ60" s="428"/>
      <c r="EA60" s="428"/>
      <c r="EB60" s="428"/>
      <c r="EC60" s="428"/>
      <c r="ED60" s="428"/>
      <c r="EE60" s="428"/>
    </row>
  </sheetData>
  <sheetProtection algorithmName="SHA-512" hashValue="yFX5jfYL0AeNfUTHWxnnAZFPRKXQwkTrmlujffU83yIOLHCIC47MBQLELX589i6chwLEmgAgisjsMI8LDHA4RA==" saltValue="1C9jHrfEYPj3jLv4VzqnZg==" spinCount="100000" sheet="1" objects="1" scenarios="1" selectLockedCells="1"/>
  <mergeCells count="54">
    <mergeCell ref="U11:U12"/>
    <mergeCell ref="V11:V12"/>
    <mergeCell ref="O11:O12"/>
    <mergeCell ref="P11:P12"/>
    <mergeCell ref="Q11:Q12"/>
    <mergeCell ref="R11:R12"/>
    <mergeCell ref="S11:S12"/>
    <mergeCell ref="T11:T12"/>
    <mergeCell ref="N11:N12"/>
    <mergeCell ref="A11:A12"/>
    <mergeCell ref="B11:B12"/>
    <mergeCell ref="C11:C12"/>
    <mergeCell ref="D11:D12"/>
    <mergeCell ref="E11:E12"/>
    <mergeCell ref="F11:H12"/>
    <mergeCell ref="I11:I12"/>
    <mergeCell ref="J11:J12"/>
    <mergeCell ref="K11:K12"/>
    <mergeCell ref="L11:L12"/>
    <mergeCell ref="M11:M12"/>
    <mergeCell ref="DY10:EE10"/>
    <mergeCell ref="AZ10:BF10"/>
    <mergeCell ref="BG10:BM10"/>
    <mergeCell ref="BN10:BT10"/>
    <mergeCell ref="BU10:CA10"/>
    <mergeCell ref="CB10:CH10"/>
    <mergeCell ref="CI10:CO10"/>
    <mergeCell ref="CP10:CV10"/>
    <mergeCell ref="CW10:DC10"/>
    <mergeCell ref="DD10:DJ10"/>
    <mergeCell ref="DK10:DQ10"/>
    <mergeCell ref="DR10:DX10"/>
    <mergeCell ref="DD9:DJ9"/>
    <mergeCell ref="DK9:DQ9"/>
    <mergeCell ref="DR9:DX9"/>
    <mergeCell ref="DY9:EE9"/>
    <mergeCell ref="F10:J10"/>
    <mergeCell ref="K10:M10"/>
    <mergeCell ref="X10:AD10"/>
    <mergeCell ref="AE10:AK10"/>
    <mergeCell ref="AL10:AR10"/>
    <mergeCell ref="AS10:AY10"/>
    <mergeCell ref="BN9:BT9"/>
    <mergeCell ref="BU9:CA9"/>
    <mergeCell ref="CB9:CH9"/>
    <mergeCell ref="CI9:CO9"/>
    <mergeCell ref="CP9:CV9"/>
    <mergeCell ref="CW9:DC9"/>
    <mergeCell ref="BG9:BM9"/>
    <mergeCell ref="X9:AD9"/>
    <mergeCell ref="AE9:AK9"/>
    <mergeCell ref="AL9:AR9"/>
    <mergeCell ref="AS9:AY9"/>
    <mergeCell ref="AZ9:BF9"/>
  </mergeCells>
  <conditionalFormatting sqref="C4:C6 C9:C10 J13:J60 M13:M60 U13:V60">
    <cfRule type="expression" dxfId="40" priority="5">
      <formula>(dateformat="dmy")</formula>
    </cfRule>
  </conditionalFormatting>
  <conditionalFormatting sqref="C13:C60">
    <cfRule type="expression" dxfId="39" priority="11">
      <formula>$A13=7</formula>
    </cfRule>
    <cfRule type="expression" dxfId="38" priority="12">
      <formula>$A13=6</formula>
    </cfRule>
    <cfRule type="expression" dxfId="37" priority="13">
      <formula>$A13=5</formula>
    </cfRule>
    <cfRule type="expression" dxfId="36" priority="14">
      <formula>$A13=4</formula>
    </cfRule>
    <cfRule type="expression" dxfId="35" priority="15">
      <formula>$A13=3</formula>
    </cfRule>
    <cfRule type="expression" dxfId="34" priority="16">
      <formula>$A13=2</formula>
    </cfRule>
  </conditionalFormatting>
  <conditionalFormatting sqref="O10">
    <cfRule type="cellIs" dxfId="33" priority="2" stopIfTrue="1" operator="greaterThanOrEqual">
      <formula>1</formula>
    </cfRule>
    <cfRule type="dataBar" priority="3">
      <dataBar>
        <cfvo type="num" val="0"/>
        <cfvo type="num" val="1"/>
        <color theme="1" tint="0.499984740745262"/>
      </dataBar>
      <extLst>
        <ext xmlns:x14="http://schemas.microsoft.com/office/spreadsheetml/2009/9/main" uri="{B025F937-C7B1-47D3-B67F-A62EFF666E3E}">
          <x14:id>{8E23B973-E794-4E55-B5A6-4B0B6208D477}</x14:id>
        </ext>
      </extLst>
    </cfRule>
  </conditionalFormatting>
  <conditionalFormatting sqref="O13:O60">
    <cfRule type="expression" dxfId="32" priority="1">
      <formula>_xlfn.ISFORMULA(O13)</formula>
    </cfRule>
    <cfRule type="cellIs" dxfId="31" priority="7" stopIfTrue="1" operator="greaterThanOrEqual">
      <formula>1</formula>
    </cfRule>
    <cfRule type="dataBar" priority="8">
      <dataBar>
        <cfvo type="num" val="0"/>
        <cfvo type="num" val="1"/>
        <color theme="1" tint="0.499984740745262"/>
      </dataBar>
      <extLst>
        <ext xmlns:x14="http://schemas.microsoft.com/office/spreadsheetml/2009/9/main" uri="{B025F937-C7B1-47D3-B67F-A62EFF666E3E}">
          <x14:id>{0D02CF8D-B6D5-4C90-B490-FD58A50DC773}</x14:id>
        </ext>
      </extLst>
    </cfRule>
  </conditionalFormatting>
  <conditionalFormatting sqref="P13:P60">
    <cfRule type="iconSet" priority="410">
      <iconSet iconSet="4RedToBlack" showValue="0">
        <cfvo type="percent" val="0"/>
        <cfvo type="num" val="INDEX(priorities,6)"/>
        <cfvo type="num" val="INDEX(priorities,5)"/>
        <cfvo type="num" val="INDEX(priorities,4)"/>
      </iconSet>
    </cfRule>
  </conditionalFormatting>
  <conditionalFormatting sqref="Q13:R60">
    <cfRule type="expression" dxfId="30" priority="4">
      <formula>(dateformat="dmy")</formula>
    </cfRule>
  </conditionalFormatting>
  <conditionalFormatting sqref="R13:R60">
    <cfRule type="expression" dxfId="29" priority="9">
      <formula>AND($R$10="Yes",R13&lt;$C$10,O13&lt;1)</formula>
    </cfRule>
    <cfRule type="expression" dxfId="28" priority="10">
      <formula>AND($R$10="Yes",R13&lt;=$C$10+enddate_highlight_days,O13&lt;1)</formula>
    </cfRule>
  </conditionalFormatting>
  <conditionalFormatting sqref="X11:EE12">
    <cfRule type="expression" dxfId="27" priority="17">
      <formula>X$7=1</formula>
    </cfRule>
    <cfRule type="expression" dxfId="26" priority="18">
      <formula>AND($C$10&gt;=X$5,$C$10&lt;Y$5)</formula>
    </cfRule>
    <cfRule type="expression" dxfId="25" priority="19">
      <formula>X$8=1</formula>
    </cfRule>
  </conditionalFormatting>
  <conditionalFormatting sqref="X12:EE12">
    <cfRule type="expression" dxfId="24" priority="6">
      <formula>$R$4="Daily"</formula>
    </cfRule>
  </conditionalFormatting>
  <conditionalFormatting sqref="X13:EE60">
    <cfRule type="expression" dxfId="23" priority="22">
      <formula>AND($V$4="Yes",$V13&gt;=X$5,$U13&lt;=X$6)</formula>
    </cfRule>
    <cfRule type="expression" dxfId="22" priority="23">
      <formula>AND($V$4="Yes",NOT(ISBLANK($V$9)),$N13&lt;&gt;"M",$V13&gt;=X$5,$U13&lt;=X$6)</formula>
    </cfRule>
    <cfRule type="expression" dxfId="21" priority="24">
      <formula>AND($R$4="Daily",show_percent_complete="Yes",$Q13&lt;=X$6,ROUNDDOWN(($R13-$Q13+1)*$O13,0)+$Q13-1&gt;=X$5)</formula>
    </cfRule>
    <cfRule type="expression" dxfId="20" priority="25" stopIfTrue="1">
      <formula>AND(OR($N13="b",$N13=""),$Q13&lt;=X$6,$R13&gt;=X$5)</formula>
    </cfRule>
    <cfRule type="expression" dxfId="19" priority="26" stopIfTrue="1">
      <formula>AND($N13="K",$Q13&lt;=X$6,$R13&gt;=X$5)</formula>
    </cfRule>
    <cfRule type="expression" dxfId="18" priority="27" stopIfTrue="1">
      <formula>AND($N13="x",$Q13&lt;=X$6,$R13&gt;=X$5)</formula>
    </cfRule>
    <cfRule type="expression" dxfId="17" priority="28" stopIfTrue="1">
      <formula>AND($N13="G",$Q13&lt;=X$6,$R13&gt;=X$5)</formula>
    </cfRule>
    <cfRule type="expression" dxfId="16" priority="29" stopIfTrue="1">
      <formula>AND($N13="P",$Q13&lt;=X$6,$R13&gt;=X$5)</formula>
    </cfRule>
    <cfRule type="expression" dxfId="15" priority="30" stopIfTrue="1">
      <formula>AND($N13="Y",$Q13&lt;=X$6,$R13&gt;=X$5)</formula>
    </cfRule>
    <cfRule type="expression" dxfId="14" priority="31" stopIfTrue="1">
      <formula>AND($N13="O",$Q13&lt;=X$6,$R13&gt;=X$5)</formula>
    </cfRule>
    <cfRule type="expression" dxfId="13" priority="32" stopIfTrue="1">
      <formula>AND($N13="R",$Q13&lt;=X$6,$R13&gt;=X$5)</formula>
    </cfRule>
    <cfRule type="expression" dxfId="12" priority="33" stopIfTrue="1">
      <formula>AND($N13=1,$Q13&lt;=X$6,$R13&gt;=X$5)</formula>
    </cfRule>
    <cfRule type="expression" dxfId="11" priority="34" stopIfTrue="1">
      <formula>AND($N13=2,$Q13&lt;=X$6,$R13&gt;=X$5)</formula>
    </cfRule>
    <cfRule type="expression" dxfId="10" priority="21">
      <formula>AND(X$5&lt;=$C$10,$C$10&lt;=X$6)</formula>
    </cfRule>
    <cfRule type="expression" dxfId="9" priority="36" stopIfTrue="1">
      <formula>AND($N13=4,$Q13&lt;=X$6,$R13&gt;=X$5)</formula>
    </cfRule>
    <cfRule type="expression" dxfId="8" priority="37" stopIfTrue="1">
      <formula>AND($N13=5,$Q13&lt;=X$6,$R13&gt;=X$5)</formula>
    </cfRule>
    <cfRule type="expression" dxfId="7" priority="38" stopIfTrue="1">
      <formula>AND($N13=6,$Q13&lt;=X$6,$R13&gt;=X$5)</formula>
    </cfRule>
    <cfRule type="expression" dxfId="6" priority="39" stopIfTrue="1">
      <formula>AND($N13=7,$Q13&lt;=X$6,$R13&gt;=X$5)</formula>
    </cfRule>
    <cfRule type="expression" dxfId="5" priority="35" stopIfTrue="1">
      <formula>AND($N13=3,$Q13&lt;=X$6,$R13&gt;=X$5)</formula>
    </cfRule>
    <cfRule type="expression" dxfId="4" priority="41" stopIfTrue="1">
      <formula>AND($R$10="Yes",show_overdue_in_chart="Yes",$O13&lt;1,$Q13&lt;Y$5,$C$10&gt;=X$5)</formula>
    </cfRule>
    <cfRule type="expression" dxfId="3" priority="42" stopIfTrue="1">
      <formula>AND($Q13&lt;=X$6,$R13&gt;=X$5)</formula>
    </cfRule>
    <cfRule type="expression" dxfId="2" priority="43">
      <formula>IF($R$4&lt;&gt;"Weekly",MOD(COLUMN()-COLUMN($X$5),IF($R$4="Daily",7,MONTH(X$5)=1))=0,FALSE)</formula>
    </cfRule>
    <cfRule type="expression" dxfId="1" priority="44">
      <formula>X$8=1</formula>
    </cfRule>
    <cfRule type="expression" dxfId="0" priority="40" stopIfTrue="1">
      <formula>AND($N13="M",$Q13&lt;=X$6,$R13&gt;=X$5)</formula>
    </cfRule>
  </conditionalFormatting>
  <dataValidations count="42">
    <dataValidation allowBlank="1" showInputMessage="1" showErrorMessage="1" promptTitle="Overall Percent Complete" prompt="This cell calculates the overall percent complete, ignoring cells in the %Done column that contain a formula. To avoid including summary task rows, either use a formula in the %Done column or delete the value in the Work Days column." sqref="O10" xr:uid="{6749206A-BD3F-4E52-AD31-EDA4D68E1C79}"/>
    <dataValidation allowBlank="1" showInputMessage="1" showErrorMessage="1" promptTitle="Lead / Lag" prompt="This column will make the task start X work days before or after the end date of the predecessor. Enter a negative value for Lead or a positive value for Lag." sqref="I11:I12" xr:uid="{4A3D1D95-D65F-47D6-8DED-E59792AB8DCF}"/>
    <dataValidation allowBlank="1" showErrorMessage="1" promptTitle="Fill Pattern for Planned Dates" prompt="If you do not see a cross-hatch fill pattern in this cell, then the version of Excel you are using does not permit cross-hatch fill patterns. If that is the case, enter an &quot;X&quot; in this cell to see the Planned Schedule using an alternate method." sqref="V9" xr:uid="{07AC9FD2-D956-4E80-B2AF-E6283904AF41}"/>
    <dataValidation allowBlank="1" showInputMessage="1" showErrorMessage="1" promptTitle="Display Planned Dates in Chart?" prompt="Choose whether to display the planned schedule in the Gantt Chart." sqref="U4" xr:uid="{92053082-4C6A-4542-8799-92D41CB141F8}"/>
    <dataValidation allowBlank="1" showInputMessage="1" showErrorMessage="1" promptTitle="Today's Date" prompt="This date is marked as a vertical red line in the Gantt chart (via conditional formatting). You can either enter this date manually, or use the formula =TODAY()." sqref="B10" xr:uid="{5D81D645-7274-438B-8922-B19D9442D1BF}"/>
    <dataValidation allowBlank="1" showInputMessage="1" showErrorMessage="1" promptTitle="Project End Date" prompt="The project end date is calculated as the maximum end date of all tasks. You could enter the end date manually in this cell if you want to." sqref="B9" xr:uid="{EBB863A1-04F9-4D5C-A2EE-948854383540}"/>
    <dataValidation allowBlank="1" showInputMessage="1" showErrorMessage="1" promptTitle="Project Start Date" prompt="This date determines the first week shown in the Gantt chart." sqref="B4" xr:uid="{6A9AB90A-1529-49AD-A574-15057CF41EAB}"/>
    <dataValidation allowBlank="1" showInputMessage="1" showErrorMessage="1" promptTitle="Show (Highlight) Overdue Tasks" prompt="Use this option to highlight the end dates for overdue tasks red and tasks approaching the due date orange. See the Help &amp; Settings worksheet to change the urgency days and other options." sqref="Q10" xr:uid="{9E367E53-8B7A-40AF-8A83-A9A316264B91}"/>
    <dataValidation allowBlank="1" showInputMessage="1" showErrorMessage="1" promptTitle="Scroll the Gantt Chart" prompt="Enter a number to change the first week, month, or year shown in the Gantt chart area (relative to the project Start date)." sqref="Q9" xr:uid="{05F59E6E-E48B-4F02-97F3-3B69C673E913}"/>
    <dataValidation allowBlank="1" showInputMessage="1" showErrorMessage="1" promptTitle="Change the Gantt Chart View" prompt="Use this drop-down to change the Gantt chart view to Daily, Weekly, Monthly or Quarterly if you want to see a larger range of dates. Note that the weekly, monthly and quarterly views result in a loss of detail." sqref="Q4" xr:uid="{B79A06CB-C0AD-4665-A3EE-C69E9004A972}"/>
    <dataValidation allowBlank="1" showErrorMessage="1" promptTitle="Today's Date" prompt="This date is marked as a vertical red line in the Gantt chart (via conditional formatting). You can either enter this date manually, or use the formula =TODAY()." sqref="C10" xr:uid="{4BCD5021-D4D8-4F85-BD36-7C4BE0C8D295}"/>
    <dataValidation allowBlank="1" showErrorMessage="1" promptTitle="Project End Date" prompt="The project end date is calculated as the maximum end date of all tasks. You could enter the end date manually in this cell if you want to." sqref="C9" xr:uid="{7CFE3446-E83B-462D-A7DC-32069BA8050F}"/>
    <dataValidation allowBlank="1" showErrorMessage="1" promptTitle="Project Start Date" prompt="This date determines the first week shown in the Gantt chart." sqref="C4" xr:uid="{EE38DE34-A6C6-444D-A216-802DBD72091F}"/>
    <dataValidation allowBlank="1" showInputMessage="1" showErrorMessage="1" promptTitle="Predecessor Tasks" prompt="Enter the WBS of the predecessor task to calculate the start date as the next work day after the predecessor ends. Use a formula like =B14 to reference the WBS of the Predecessor task. Or enter the WBS as text (by preceding the WBS with an apostrophe)." sqref="F11:H12" xr:uid="{0EC2366F-A5FC-407B-935A-342EF98191D2}"/>
    <dataValidation allowBlank="1" showInputMessage="1" showErrorMessage="1" promptTitle="Task Description" prompt="Enter the name or description of each task and sub-task. The task description is automatically indented using conditional formatting based on the WBS Level column." sqref="C11:C12" xr:uid="{BE7C158C-318D-4A82-854E-BD2489B7AEFB}"/>
    <dataValidation allowBlank="1" showInputMessage="1" showErrorMessage="1" promptTitle="WBS Level" prompt="Choose the WBS (Work Breakdown Structure) level from the drop-down in this column. This will update the WBS outline numbering and cause the Task description to be indented." sqref="A11:A12" xr:uid="{DC64416E-6158-4E2D-9075-405EC54F35BA}"/>
    <dataValidation allowBlank="1" showInputMessage="1" showErrorMessage="1" promptTitle="Work Breakdown Structure" prompt="This column uses a formula to automatically update the WBS outline numbering based on the specified WBS Level._x000a_Level 1: 1, 2, 3, ..._x000a_Level 2: 1.1, 1.2, 1.3, ..._x000a_Level 3: 1.1.1, 1.1.2, 1.1.3, …_x000a_" sqref="B11:B12" xr:uid="{F61176C2-292C-4AA3-8F03-50D8510337D0}"/>
    <dataValidation allowBlank="1" showInputMessage="1" showErrorMessage="1" promptTitle="Budget" prompt="Use this column to list the budget or cost for each task. Use =SUM(range) or =SUBTOTAL(9,range) in summary task rows to sum the cost for subtasks." sqref="E11:E12" xr:uid="{DB445C6F-5856-4132-8731-8E600BA54841}"/>
    <dataValidation allowBlank="1" showInputMessage="1" showErrorMessage="1" promptTitle="Assigned To (Name)" prompt="Use this column to enter the name of the person or team assigned to this task." sqref="D11:D12" xr:uid="{DEC63957-B10B-4231-A185-0E5790468FC4}"/>
    <dataValidation allowBlank="1" showInputMessage="1" showErrorMessage="1" promptTitle="Start Date" prompt="Enter the Start date for each task in this column, or use the Predecessor column to calculate the start date based on a predecessor task. See the Help worksheet for information about creating dependencies." sqref="J11:J12" xr:uid="{FC95F44B-20A5-4153-AF60-0679785AF7EC}"/>
    <dataValidation allowBlank="1" showInputMessage="1" showErrorMessage="1" promptTitle="Duration in Work Days" prompt="Enter the number of Work Days that you estimate this task will require to complete. Work Days exclude the weekend (defined in the Help &amp; Settings worksheet) and the holidays listed in the Holidays worksheet." sqref="K11:K12" xr:uid="{4BD62ADC-84D9-486D-83FE-C40FA26DA95F}"/>
    <dataValidation allowBlank="1" showInputMessage="1" showErrorMessage="1" promptTitle="Duration in Calendar Days" prompt="If you want to enter the number of calendar days instead of the number of work days, enter a number of days in this column." sqref="L11:L12" xr:uid="{B20793FE-393A-478C-9156-E1137172B385}"/>
    <dataValidation allowBlank="1" showInputMessage="1" showErrorMessage="1" promptTitle="End Date" prompt="If you want to enter the End Date instead of calculating what it should be, enter the date in this column. Otherwise, enter a value in the Work Days or Calendar Days column to define the duration of the task." sqref="M11:M12" xr:uid="{5146631C-10E4-4492-8000-BA0EBF9198A3}"/>
    <dataValidation allowBlank="1" showInputMessage="1" showErrorMessage="1" promptTitle="Bar Color" prompt="Enter one of the following color codes to choose the color of the incomplete portion of the bar._x000a_B = Blue, G = Green, P = Purple,_x000a_X = Gray, K = Black_x000a_R = Red, O = Orange, Y = Yellow,_x000a_1-6 = Theme colors_x000a_M = Milestone diamond ( ◆ )" sqref="N11:N12" xr:uid="{10E89E3F-179D-41CF-BA29-14E7A915B3EF}"/>
    <dataValidation allowBlank="1" showInputMessage="1" showErrorMessage="1" promptTitle="Planned End Dates" prompt="Use this column to record the planned end date for each task, if you want to show the original planned schedule in the Gantt chart." sqref="V11:V12" xr:uid="{E1FA93B8-F69B-4E6A-AF64-27F210189D5C}"/>
    <dataValidation allowBlank="1" showInputMessage="1" showErrorMessage="1" promptTitle="Planned Start Dates" prompt="Use this column to record the planned start date for each task, if you want to show the original planned schedule in the Gantt chart." sqref="U11:U12" xr:uid="{F0C0CA39-DB09-4517-9C15-00B8D039D5D7}"/>
    <dataValidation allowBlank="1" showInputMessage="1" showErrorMessage="1" promptTitle="Percent Complete" prompt="Enter a percentage 0% to 100% to update the status of this task. The column uses conditional formatting. See the Help &amp; Settings worksheet for other related options." sqref="O11:O12" xr:uid="{4FED970D-6BCC-4ED5-A536-71CD3BCAF69C}"/>
    <dataValidation allowBlank="1" showInputMessage="1" showErrorMessage="1" promptTitle="Priority" prompt="This optional column is used to mark the task priority as needed. You can use the values in the drop-down list or enter numbers 3,2,1,0 for Very High, High, Medium, Low priority." sqref="P11:P12" xr:uid="{75DA9F87-6017-4253-8561-2E335F250233}"/>
    <dataValidation allowBlank="1" showInputMessage="1" showErrorMessage="1" promptTitle="Calculated Start Date" prompt="This column used to create the Gantt chart. It is calculated based on the inputs you enter in the Task Start and Duration columns." sqref="Q11:Q12" xr:uid="{D6A5B72E-1557-44A2-81F2-52F8CA3A44B5}"/>
    <dataValidation allowBlank="1" showInputMessage="1" showErrorMessage="1" promptTitle="Calculated End Date" prompt="This column is used to create the Gantt chart. It is calculated based on the inputs you enter in the Task Start and Duration columns." sqref="R11:R12" xr:uid="{EA3D8684-B306-4BB4-B662-A7781C5DA2A0}"/>
    <dataValidation allowBlank="1" showInputMessage="1" showErrorMessage="1" promptTitle="Calculated Calendar Days" prompt="This column is calculated as the End date minus the Start date plus 1 day (plus 1 because a task that starts and ends on the same day has a duration of 1 day). This column is mainly for reference, and can be hidden if not needed." sqref="T11:T12" xr:uid="{0E954321-E09D-400C-B53B-EF2A822B9387}"/>
    <dataValidation allowBlank="1" showInputMessage="1" showErrorMessage="1" promptTitle="Calculated Work Days" prompt="This column is mainly for reference and can be hidden if not needed. It is useful when you want to create your own formulas that reference work days (such as calculating an overall percent complete - see the Help &amp; Settings worksheet)." sqref="S11:S12" xr:uid="{D87B29DC-3C4F-4E3E-AE50-EB2C60C9783F}"/>
    <dataValidation allowBlank="1" showInputMessage="1" showErrorMessage="1" promptTitle="Fill Pattern for Planned Dates" prompt="If you do not see a cross-hatch fill pattern in this cell, then the version of Excel you are using does not permit cross-hatch fill patterns. If that is the case, enter an &quot;X&quot; in this cell to see the Planned Schedule using an alternate method." sqref="U9" xr:uid="{C32DBD69-C6C6-42B0-998F-7686EC06D718}"/>
    <dataValidation allowBlank="1" showErrorMessage="1" promptTitle="Scroll the Gantt Chart" prompt="Enter a number to change the first week, month, or year shown in the Gantt chart area (relative to the project Start date)." sqref="R9" xr:uid="{5BAA7FEF-5B95-4A64-B6E1-E76728EC4892}"/>
    <dataValidation type="list" allowBlank="1" showErrorMessage="1" promptTitle="Change the Gantt Chart View" prompt="Use this drop-down to change the Gantt chart view to Daily, Weekly, Monthly or Quarterly if you want to see a larger range of dates. Note that the weekly, monthly and quarterly views result in a loss of detail." sqref="R4" xr:uid="{828A2E76-81EF-4C4F-8BC3-1C936653313D}">
      <formula1>"Daily,Weekly,Monthly,Quarterly"</formula1>
    </dataValidation>
    <dataValidation type="list" allowBlank="1" showInputMessage="1" showErrorMessage="1" sqref="R5:R6" xr:uid="{01A2475B-FBF1-4974-AE65-744EEF6D342A}">
      <formula1>"Daily,Weekly,Monthly,Quarterly"</formula1>
    </dataValidation>
    <dataValidation type="list" allowBlank="1" promptTitle="Show (Highlight) Overdue Tasks" prompt="Use this option to highlight the end dates for overdue tasks red and tasks approaching the due date orange. See the Help &amp; Settings worksheet to change the urgency days and other options." sqref="R10" xr:uid="{6ECC99DB-78A1-48CA-8D0D-54A46024B270}">
      <formula1>"Yes,No"</formula1>
    </dataValidation>
    <dataValidation type="list" allowBlank="1" promptTitle="Display Planned Dates in Chart?" prompt="Choose whether to display the planned schedule in the Gantt Chart." sqref="V4" xr:uid="{C1A4844D-4523-41B0-9A2C-668181E30CF1}">
      <formula1>"Yes,No"</formula1>
    </dataValidation>
    <dataValidation type="list" allowBlank="1" sqref="O13:O60" xr:uid="{8BCB69A4-D3E2-485D-81F7-2925F82B9554}">
      <formula1>"100%,75%,67%,50%,34%,25%"</formula1>
    </dataValidation>
    <dataValidation type="list" allowBlank="1" sqref="N13:N60" xr:uid="{0028DFB2-D251-488B-8949-FB98B1E14346}">
      <formula1>"B,G,P,X,K,R,O,Y,1,2,3,4,5,6,M"</formula1>
    </dataValidation>
    <dataValidation type="list" allowBlank="1" sqref="P13:P60" xr:uid="{C19A14C2-47F0-4D24-B1CA-96A4526A9E21}">
      <formula1>priorities</formula1>
    </dataValidation>
    <dataValidation type="list" allowBlank="1" sqref="A13:A59" xr:uid="{C088C888-F15D-4C5B-9509-B85F718A38DB}">
      <formula1>"1,2,3,4,5,6"</formula1>
    </dataValidation>
  </dataValidations>
  <pageMargins left="0.25" right="0.25" top="0.5" bottom="0.5" header="0.5" footer="0.25"/>
  <pageSetup scale="45" fitToHeight="0" orientation="landscape" r:id="rId1"/>
  <headerFooter alignWithMargins="0"/>
  <ignoredErrors>
    <ignoredError sqref="J13:J14 J24 M13 M24 M36 J36 J45 M4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Scroll Bar 1">
              <controlPr locked="0" defaultSize="0" print="0" autoPict="0">
                <anchor moveWithCells="1">
                  <from>
                    <xdr:col>22</xdr:col>
                    <xdr:colOff>152400</xdr:colOff>
                    <xdr:row>2</xdr:row>
                    <xdr:rowOff>114300</xdr:rowOff>
                  </from>
                  <to>
                    <xdr:col>39</xdr:col>
                    <xdr:colOff>133350</xdr:colOff>
                    <xdr:row>3</xdr:row>
                    <xdr:rowOff>133350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8E23B973-E794-4E55-B5A6-4B0B6208D477}">
            <x14:dataBar minLength="0" maxLength="100" gradient="0">
              <x14:cfvo type="num">
                <xm:f>0</xm:f>
              </x14:cfvo>
              <x14:cfvo type="num">
                <xm:f>1</xm:f>
              </x14:cfvo>
              <x14:negativeFillColor rgb="FFFF0000"/>
              <x14:axisColor rgb="FF000000"/>
            </x14:dataBar>
          </x14:cfRule>
          <xm:sqref>O10</xm:sqref>
        </x14:conditionalFormatting>
        <x14:conditionalFormatting xmlns:xm="http://schemas.microsoft.com/office/excel/2006/main">
          <x14:cfRule type="dataBar" id="{0D02CF8D-B6D5-4C90-B490-FD58A50DC773}">
            <x14:dataBar minLength="0" maxLength="100" gradient="0">
              <x14:cfvo type="num">
                <xm:f>0</xm:f>
              </x14:cfvo>
              <x14:cfvo type="num">
                <xm:f>1</xm:f>
              </x14:cfvo>
              <x14:negativeFillColor rgb="FFFF0000"/>
              <x14:axisColor rgb="FF000000"/>
            </x14:dataBar>
          </x14:cfRule>
          <xm:sqref>O13:O60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722F0-4946-4501-A979-6D0B387C7334}">
  <dimension ref="A1"/>
  <sheetViews>
    <sheetView zoomScaleNormal="100" workbookViewId="0">
      <selection activeCell="AC87" sqref="AC87"/>
    </sheetView>
  </sheetViews>
  <sheetFormatPr defaultColWidth="9.140625" defaultRowHeight="15" x14ac:dyDescent="0.25"/>
  <cols>
    <col min="1" max="16384" width="9.140625" style="140"/>
  </cols>
  <sheetData/>
  <sheetProtection algorithmName="SHA-512" hashValue="iiwEBI0zspclNfQHge7F6iLxy0gjI72b2n8T5FyTL597QxfUGeJQqhr3BiLDo2hQOGpur/1Gx7bCr/sQlZFYMg==" saltValue="uSSWcMhmvsFJaL0scbgOZA==" spinCount="100000" sheet="1" objects="1" scenarios="1" selectLockedCell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A2EB7-70F3-4CC7-8608-A9C39A77CCAE}">
  <sheetPr>
    <pageSetUpPr fitToPage="1"/>
  </sheetPr>
  <dimension ref="A1:AT169"/>
  <sheetViews>
    <sheetView workbookViewId="0">
      <selection activeCell="Z124" sqref="Z124"/>
    </sheetView>
  </sheetViews>
  <sheetFormatPr defaultColWidth="9.140625" defaultRowHeight="15" x14ac:dyDescent="0.25"/>
  <cols>
    <col min="1" max="2" width="9.140625" style="140"/>
    <col min="3" max="10" width="9.140625" style="207"/>
    <col min="11" max="11" width="9.7109375" style="207" customWidth="1"/>
    <col min="12" max="12" width="16.5703125" style="207" bestFit="1" customWidth="1"/>
    <col min="13" max="13" width="23.28515625" style="207" bestFit="1" customWidth="1"/>
    <col min="14" max="14" width="14.5703125" style="207" bestFit="1" customWidth="1"/>
    <col min="15" max="15" width="11.5703125" style="207" bestFit="1" customWidth="1"/>
    <col min="16" max="18" width="9.140625" style="207"/>
    <col min="19" max="20" width="9.140625" style="140"/>
    <col min="21" max="25" width="9.140625" style="207"/>
    <col min="26" max="26" width="11.7109375" style="207" bestFit="1" customWidth="1"/>
    <col min="27" max="29" width="9.140625" style="207"/>
    <col min="30" max="46" width="9.140625" style="140"/>
    <col min="47" max="16384" width="9.140625" style="207"/>
  </cols>
  <sheetData>
    <row r="1" spans="3:29" s="140" customFormat="1" x14ac:dyDescent="0.25"/>
    <row r="2" spans="3:29" x14ac:dyDescent="0.25">
      <c r="C2" s="167" t="s">
        <v>23</v>
      </c>
      <c r="D2" s="140"/>
      <c r="E2" s="140"/>
      <c r="F2" s="140"/>
      <c r="G2" s="140"/>
      <c r="H2" s="140"/>
      <c r="I2" s="140"/>
      <c r="J2" s="140"/>
      <c r="K2" s="140"/>
      <c r="L2" s="140"/>
      <c r="M2" s="140"/>
      <c r="N2" s="140"/>
      <c r="O2" s="140"/>
      <c r="P2" s="140"/>
      <c r="Q2" s="140"/>
      <c r="R2" s="140"/>
      <c r="U2" s="140"/>
      <c r="V2" s="140"/>
      <c r="W2" s="140"/>
      <c r="X2" s="140"/>
      <c r="Y2" s="140"/>
      <c r="Z2" s="140"/>
      <c r="AA2" s="140"/>
      <c r="AB2" s="140"/>
      <c r="AC2" s="140"/>
    </row>
    <row r="3" spans="3:29" x14ac:dyDescent="0.25">
      <c r="C3" s="140"/>
      <c r="D3" s="140"/>
      <c r="E3" s="140"/>
      <c r="F3" s="140"/>
      <c r="G3" s="140"/>
      <c r="H3" s="140"/>
      <c r="I3" s="140"/>
      <c r="J3" s="140"/>
      <c r="K3" s="140"/>
      <c r="L3" s="140"/>
      <c r="M3" s="140"/>
      <c r="N3" s="140"/>
      <c r="O3" s="140"/>
      <c r="P3" s="140"/>
      <c r="Q3" s="140"/>
      <c r="R3" s="140"/>
      <c r="U3" s="140"/>
      <c r="V3" s="140"/>
      <c r="W3" s="140"/>
      <c r="X3" s="140"/>
      <c r="Y3" s="140"/>
      <c r="Z3" s="140"/>
      <c r="AA3" s="140"/>
      <c r="AB3" s="140"/>
      <c r="AC3" s="140"/>
    </row>
    <row r="4" spans="3:29" x14ac:dyDescent="0.25">
      <c r="C4" s="140"/>
      <c r="D4" s="140"/>
      <c r="E4" s="140"/>
      <c r="F4" s="140"/>
      <c r="G4" s="140"/>
      <c r="H4" s="140"/>
      <c r="I4" s="140"/>
      <c r="J4" s="140"/>
      <c r="K4" s="140"/>
      <c r="L4" s="140"/>
      <c r="M4" s="140"/>
      <c r="N4" s="140"/>
      <c r="O4" s="140"/>
      <c r="P4" s="140"/>
      <c r="Q4" s="140"/>
      <c r="R4" s="140"/>
      <c r="U4" s="140"/>
      <c r="V4" s="140"/>
      <c r="W4" s="140"/>
      <c r="X4" s="140"/>
      <c r="Y4" s="140"/>
      <c r="Z4" s="140"/>
      <c r="AA4" s="140"/>
      <c r="AB4" s="140"/>
      <c r="AC4" s="140"/>
    </row>
    <row r="5" spans="3:29" x14ac:dyDescent="0.25">
      <c r="C5" s="140"/>
      <c r="D5" s="140"/>
      <c r="E5" s="140"/>
      <c r="F5" s="140"/>
      <c r="G5" s="140"/>
      <c r="H5" s="140"/>
      <c r="I5" s="140"/>
      <c r="J5" s="140"/>
      <c r="K5" s="140"/>
      <c r="L5" s="140"/>
      <c r="M5" s="140"/>
      <c r="N5" s="140"/>
      <c r="O5" s="140"/>
      <c r="P5" s="140"/>
      <c r="Q5" s="140"/>
      <c r="R5" s="140"/>
      <c r="U5" s="140"/>
      <c r="V5" s="140"/>
      <c r="W5" s="140"/>
      <c r="X5" s="140"/>
      <c r="Y5" s="140"/>
      <c r="Z5" s="140"/>
      <c r="AA5" s="140"/>
      <c r="AB5" s="140"/>
      <c r="AC5" s="140"/>
    </row>
    <row r="6" spans="3:29" x14ac:dyDescent="0.25">
      <c r="C6" s="140"/>
      <c r="D6" s="140"/>
      <c r="E6" s="140"/>
      <c r="F6" s="140"/>
      <c r="G6" s="140"/>
      <c r="H6" s="140"/>
      <c r="I6" s="140"/>
      <c r="J6" s="140"/>
      <c r="K6" s="140"/>
      <c r="L6" s="140"/>
      <c r="M6" s="140"/>
      <c r="N6" s="140"/>
      <c r="O6" s="140"/>
      <c r="P6" s="140"/>
      <c r="Q6" s="140"/>
      <c r="R6" s="140"/>
      <c r="U6" s="140"/>
      <c r="V6" s="140"/>
      <c r="W6" s="140"/>
      <c r="X6" s="140"/>
      <c r="Y6" s="140"/>
      <c r="Z6" s="140"/>
      <c r="AA6" s="140"/>
      <c r="AB6" s="140"/>
      <c r="AC6" s="140"/>
    </row>
    <row r="7" spans="3:29" x14ac:dyDescent="0.25">
      <c r="C7" s="140"/>
      <c r="D7" s="140"/>
      <c r="E7" s="140"/>
      <c r="F7" s="140"/>
      <c r="G7" s="140"/>
      <c r="H7" s="140"/>
      <c r="I7" s="140"/>
      <c r="J7" s="140"/>
      <c r="K7" s="140"/>
      <c r="L7" s="140"/>
      <c r="M7" s="140"/>
      <c r="N7" s="140"/>
      <c r="O7" s="140"/>
      <c r="P7" s="140"/>
      <c r="Q7" s="140"/>
      <c r="R7" s="140"/>
      <c r="U7" s="140"/>
      <c r="V7" s="140"/>
      <c r="W7" s="140"/>
      <c r="X7" s="140"/>
      <c r="Y7" s="140"/>
      <c r="Z7" s="140"/>
      <c r="AA7" s="140"/>
      <c r="AB7" s="140"/>
      <c r="AC7" s="140"/>
    </row>
    <row r="8" spans="3:29" x14ac:dyDescent="0.25">
      <c r="C8" s="140"/>
      <c r="D8" s="140"/>
      <c r="E8" s="140"/>
      <c r="F8" s="140"/>
      <c r="G8" s="140"/>
      <c r="H8" s="140"/>
      <c r="I8" s="140"/>
      <c r="J8" s="140"/>
      <c r="K8" s="140"/>
      <c r="L8" s="140"/>
      <c r="M8" s="140"/>
      <c r="N8" s="140"/>
      <c r="O8" s="140"/>
      <c r="P8" s="140"/>
      <c r="Q8" s="140"/>
      <c r="R8" s="140"/>
      <c r="U8" s="140"/>
      <c r="V8" s="140"/>
      <c r="W8" s="140"/>
      <c r="X8" s="140"/>
      <c r="Y8" s="140"/>
      <c r="Z8" s="140"/>
      <c r="AA8" s="140"/>
      <c r="AB8" s="140"/>
      <c r="AC8" s="140"/>
    </row>
    <row r="9" spans="3:29" ht="15.75" thickBot="1" x14ac:dyDescent="0.3">
      <c r="C9" s="140"/>
      <c r="D9" s="140"/>
      <c r="E9" s="140"/>
      <c r="F9" s="140"/>
      <c r="G9" s="140"/>
      <c r="H9" s="140"/>
      <c r="I9" s="140"/>
      <c r="J9" s="140"/>
      <c r="K9" s="140"/>
      <c r="L9" s="140"/>
      <c r="M9" s="140"/>
      <c r="N9" s="140"/>
      <c r="O9" s="140"/>
      <c r="P9" s="140"/>
      <c r="Q9" s="140"/>
      <c r="R9" s="140"/>
      <c r="U9" s="140"/>
      <c r="V9" s="140"/>
      <c r="W9" s="140"/>
      <c r="X9" s="140"/>
      <c r="Y9" s="140"/>
      <c r="Z9" s="140"/>
      <c r="AA9" s="140"/>
      <c r="AB9" s="140"/>
      <c r="AC9" s="140"/>
    </row>
    <row r="10" spans="3:29" ht="16.5" customHeight="1" x14ac:dyDescent="0.25">
      <c r="C10" s="208" t="s">
        <v>24</v>
      </c>
      <c r="D10" s="209"/>
      <c r="E10" s="209"/>
      <c r="F10" s="209"/>
      <c r="G10" s="209"/>
      <c r="H10" s="209"/>
      <c r="I10" s="209"/>
      <c r="J10" s="209"/>
      <c r="K10" s="209"/>
      <c r="L10" s="210" t="s">
        <v>26</v>
      </c>
      <c r="M10" s="210" t="s">
        <v>27</v>
      </c>
      <c r="N10" s="562" t="s">
        <v>129</v>
      </c>
      <c r="O10" s="564" t="s">
        <v>126</v>
      </c>
      <c r="P10" s="566" t="s">
        <v>60</v>
      </c>
      <c r="Q10" s="562"/>
      <c r="R10" s="567"/>
      <c r="U10" s="140"/>
      <c r="V10" s="140"/>
      <c r="W10" s="140"/>
      <c r="X10" s="140"/>
      <c r="Y10" s="140"/>
      <c r="Z10" s="140"/>
      <c r="AA10" s="140"/>
      <c r="AB10" s="140"/>
      <c r="AC10" s="140"/>
    </row>
    <row r="11" spans="3:29" ht="15.75" thickBot="1" x14ac:dyDescent="0.3">
      <c r="C11" s="211"/>
      <c r="D11" s="212"/>
      <c r="E11" s="212"/>
      <c r="F11" s="212"/>
      <c r="G11" s="212"/>
      <c r="H11" s="212"/>
      <c r="I11" s="212"/>
      <c r="J11" s="212"/>
      <c r="K11" s="212"/>
      <c r="L11" s="213"/>
      <c r="M11" s="213" t="s">
        <v>28</v>
      </c>
      <c r="N11" s="563"/>
      <c r="O11" s="565"/>
      <c r="P11" s="568"/>
      <c r="Q11" s="563"/>
      <c r="R11" s="569"/>
      <c r="U11" s="140"/>
      <c r="V11" s="140"/>
      <c r="W11" s="140"/>
      <c r="X11" s="140"/>
      <c r="Y11" s="140"/>
      <c r="Z11" s="140"/>
      <c r="AA11" s="140"/>
      <c r="AB11" s="140"/>
      <c r="AC11" s="140"/>
    </row>
    <row r="12" spans="3:29" ht="15" customHeight="1" x14ac:dyDescent="0.25">
      <c r="C12" s="214" t="s">
        <v>25</v>
      </c>
      <c r="D12" s="264"/>
      <c r="E12" s="220"/>
      <c r="F12" s="220"/>
      <c r="G12" s="220"/>
      <c r="H12" s="220"/>
      <c r="I12" s="220"/>
      <c r="J12" s="220"/>
      <c r="K12" s="220"/>
      <c r="L12" s="220"/>
      <c r="M12" s="247"/>
      <c r="N12" s="220"/>
      <c r="O12" s="222"/>
      <c r="P12" s="570" t="s">
        <v>1231</v>
      </c>
      <c r="Q12" s="571"/>
      <c r="R12" s="572"/>
      <c r="U12" s="140"/>
      <c r="V12" s="140"/>
      <c r="W12" s="140"/>
      <c r="X12" s="140"/>
      <c r="Y12" s="140"/>
      <c r="Z12" s="140"/>
      <c r="AA12" s="140"/>
      <c r="AB12" s="140"/>
      <c r="AC12" s="140"/>
    </row>
    <row r="13" spans="3:29" x14ac:dyDescent="0.25">
      <c r="C13" s="266">
        <v>1</v>
      </c>
      <c r="D13" s="265" t="s">
        <v>747</v>
      </c>
      <c r="E13" s="220"/>
      <c r="F13" s="220"/>
      <c r="G13" s="220"/>
      <c r="H13" s="220"/>
      <c r="I13" s="220"/>
      <c r="J13" s="220"/>
      <c r="K13" s="220"/>
      <c r="L13" s="267">
        <f>'Job Survey'!F6</f>
        <v>150000</v>
      </c>
      <c r="M13" s="267">
        <f>'Job Survey'!G6</f>
        <v>218228.51999999996</v>
      </c>
      <c r="N13" s="220"/>
      <c r="O13" s="222"/>
      <c r="P13" s="573"/>
      <c r="Q13" s="574"/>
      <c r="R13" s="575"/>
      <c r="U13" s="140"/>
      <c r="V13" s="140"/>
      <c r="W13" s="140"/>
      <c r="X13" s="140"/>
      <c r="Y13" s="140"/>
      <c r="Z13" s="140"/>
      <c r="AA13" s="140"/>
      <c r="AB13" s="140"/>
      <c r="AC13" s="140"/>
    </row>
    <row r="14" spans="3:29" x14ac:dyDescent="0.25">
      <c r="C14" s="266">
        <f>C13+1</f>
        <v>2</v>
      </c>
      <c r="D14" s="265" t="s">
        <v>359</v>
      </c>
      <c r="E14" s="220"/>
      <c r="F14" s="220"/>
      <c r="G14" s="220"/>
      <c r="H14" s="220"/>
      <c r="I14" s="220"/>
      <c r="J14" s="220"/>
      <c r="K14" s="220"/>
      <c r="L14" s="267">
        <f>'Job Survey'!F7</f>
        <v>150000</v>
      </c>
      <c r="M14" s="267">
        <f>'Job Survey'!G7</f>
        <v>218228.51999999996</v>
      </c>
      <c r="N14" s="220"/>
      <c r="O14" s="222"/>
      <c r="P14" s="573"/>
      <c r="Q14" s="574"/>
      <c r="R14" s="575"/>
      <c r="U14" s="140"/>
      <c r="V14" s="140"/>
      <c r="W14" s="140"/>
      <c r="X14" s="140"/>
      <c r="Y14" s="140"/>
      <c r="Z14" s="140"/>
      <c r="AA14" s="140"/>
      <c r="AB14" s="140"/>
      <c r="AC14" s="140"/>
    </row>
    <row r="15" spans="3:29" x14ac:dyDescent="0.25">
      <c r="C15" s="266">
        <v>3</v>
      </c>
      <c r="D15" s="265" t="s">
        <v>750</v>
      </c>
      <c r="E15" s="220"/>
      <c r="F15" s="220"/>
      <c r="G15" s="220"/>
      <c r="H15" s="220"/>
      <c r="I15" s="220"/>
      <c r="J15" s="220"/>
      <c r="K15" s="220"/>
      <c r="L15" s="267">
        <f>'Job Survey'!F12</f>
        <v>119999.99999999999</v>
      </c>
      <c r="M15" s="267">
        <f>'Job Survey'!G12</f>
        <v>178433.52</v>
      </c>
      <c r="N15" s="220"/>
      <c r="O15" s="222"/>
      <c r="P15" s="573"/>
      <c r="Q15" s="574"/>
      <c r="R15" s="575"/>
      <c r="U15" s="140"/>
      <c r="V15" s="140"/>
      <c r="W15" s="140"/>
      <c r="X15" s="140"/>
      <c r="Y15" s="140"/>
      <c r="Z15" s="140"/>
      <c r="AA15" s="140"/>
      <c r="AB15" s="140"/>
      <c r="AC15" s="140"/>
    </row>
    <row r="16" spans="3:29" x14ac:dyDescent="0.25">
      <c r="C16" s="266">
        <v>4</v>
      </c>
      <c r="D16" s="265" t="s">
        <v>239</v>
      </c>
      <c r="E16" s="220"/>
      <c r="F16" s="220"/>
      <c r="G16" s="220"/>
      <c r="H16" s="220"/>
      <c r="I16" s="220"/>
      <c r="J16" s="220"/>
      <c r="K16" s="220"/>
      <c r="L16" s="267">
        <f>'Job Survey'!F101</f>
        <v>150000</v>
      </c>
      <c r="M16" s="267">
        <f>'Job Survey'!G101</f>
        <v>218228.51999999996</v>
      </c>
      <c r="N16" s="220"/>
      <c r="O16" s="222"/>
      <c r="P16" s="573"/>
      <c r="Q16" s="574"/>
      <c r="R16" s="575"/>
      <c r="U16" s="140"/>
      <c r="V16" s="140"/>
      <c r="W16" s="140"/>
      <c r="X16" s="140"/>
      <c r="Y16" s="140"/>
      <c r="Z16" s="140"/>
      <c r="AA16" s="140"/>
      <c r="AB16" s="140"/>
      <c r="AC16" s="140"/>
    </row>
    <row r="17" spans="3:29" x14ac:dyDescent="0.25">
      <c r="C17" s="266">
        <v>5</v>
      </c>
      <c r="D17" s="265" t="s">
        <v>1230</v>
      </c>
      <c r="E17" s="220"/>
      <c r="F17" s="220"/>
      <c r="G17" s="220"/>
      <c r="H17" s="220"/>
      <c r="I17" s="220"/>
      <c r="J17" s="220"/>
      <c r="K17" s="220"/>
      <c r="L17" s="267">
        <f>'Job Survey'!F14</f>
        <v>100000</v>
      </c>
      <c r="M17" s="267">
        <f>'Job Survey'!G14</f>
        <v>151903.51999999999</v>
      </c>
      <c r="N17" s="220"/>
      <c r="O17" s="222"/>
      <c r="P17" s="573"/>
      <c r="Q17" s="574"/>
      <c r="R17" s="575"/>
      <c r="U17" s="140"/>
      <c r="V17" s="140"/>
      <c r="W17" s="140"/>
      <c r="X17" s="140"/>
      <c r="Y17" s="140"/>
      <c r="Z17" s="140"/>
      <c r="AA17" s="140"/>
      <c r="AB17" s="140"/>
      <c r="AC17" s="140"/>
    </row>
    <row r="18" spans="3:29" x14ac:dyDescent="0.25">
      <c r="C18" s="266">
        <v>6</v>
      </c>
      <c r="D18" s="265" t="s">
        <v>364</v>
      </c>
      <c r="E18" s="220"/>
      <c r="F18" s="220"/>
      <c r="G18" s="220"/>
      <c r="H18" s="220"/>
      <c r="I18" s="220"/>
      <c r="J18" s="220"/>
      <c r="K18" s="220"/>
      <c r="L18" s="267">
        <f>'Job Survey'!F16</f>
        <v>55400</v>
      </c>
      <c r="M18" s="267">
        <f>'Job Survey'!G16</f>
        <v>92741.62</v>
      </c>
      <c r="N18" s="220"/>
      <c r="O18" s="222"/>
      <c r="P18" s="573"/>
      <c r="Q18" s="574"/>
      <c r="R18" s="575"/>
      <c r="U18" s="140"/>
      <c r="V18" s="140"/>
      <c r="W18" s="140"/>
      <c r="X18" s="140"/>
      <c r="Y18" s="140"/>
      <c r="Z18" s="140"/>
      <c r="AA18" s="140"/>
      <c r="AB18" s="140"/>
      <c r="AC18" s="140"/>
    </row>
    <row r="19" spans="3:29" x14ac:dyDescent="0.25">
      <c r="C19" s="266">
        <v>7</v>
      </c>
      <c r="D19" s="265" t="s">
        <v>378</v>
      </c>
      <c r="E19" s="220"/>
      <c r="F19" s="220"/>
      <c r="G19" s="220"/>
      <c r="H19" s="220"/>
      <c r="I19" s="220"/>
      <c r="J19" s="220"/>
      <c r="K19" s="220"/>
      <c r="L19" s="267">
        <f>'Job Survey'!F48</f>
        <v>125000</v>
      </c>
      <c r="M19" s="267">
        <f>'Job Survey'!G48</f>
        <v>185066.01999999996</v>
      </c>
      <c r="N19" s="220"/>
      <c r="O19" s="222"/>
      <c r="P19" s="573"/>
      <c r="Q19" s="574"/>
      <c r="R19" s="575"/>
      <c r="U19" s="140"/>
      <c r="V19" s="140"/>
      <c r="W19" s="140"/>
      <c r="X19" s="140"/>
      <c r="Y19" s="140"/>
      <c r="Z19" s="140"/>
      <c r="AA19" s="140"/>
      <c r="AB19" s="140"/>
      <c r="AC19" s="140"/>
    </row>
    <row r="20" spans="3:29" x14ac:dyDescent="0.25">
      <c r="C20" s="266">
        <f t="shared" ref="C20:C22" si="0">C19+1</f>
        <v>8</v>
      </c>
      <c r="D20" s="265" t="s">
        <v>748</v>
      </c>
      <c r="E20" s="220"/>
      <c r="F20" s="220"/>
      <c r="G20" s="220"/>
      <c r="H20" s="220"/>
      <c r="I20" s="220"/>
      <c r="J20" s="220"/>
      <c r="K20" s="220"/>
      <c r="L20" s="267">
        <f>'Job Survey'!F76</f>
        <v>45000</v>
      </c>
      <c r="M20" s="267">
        <f>'Job Survey'!G76</f>
        <v>78946.01999999999</v>
      </c>
      <c r="N20" s="220"/>
      <c r="O20" s="222"/>
      <c r="P20" s="573"/>
      <c r="Q20" s="574"/>
      <c r="R20" s="575"/>
      <c r="U20" s="140"/>
      <c r="V20" s="140"/>
      <c r="W20" s="140"/>
      <c r="X20" s="140"/>
      <c r="Y20" s="140"/>
      <c r="Z20" s="140"/>
      <c r="AA20" s="140"/>
      <c r="AB20" s="140"/>
      <c r="AC20" s="140"/>
    </row>
    <row r="21" spans="3:29" x14ac:dyDescent="0.25">
      <c r="C21" s="266">
        <f t="shared" si="0"/>
        <v>9</v>
      </c>
      <c r="D21" s="265" t="s">
        <v>749</v>
      </c>
      <c r="E21" s="220"/>
      <c r="F21" s="220"/>
      <c r="G21" s="220"/>
      <c r="H21" s="220"/>
      <c r="I21" s="220"/>
      <c r="J21" s="220"/>
      <c r="K21" s="220"/>
      <c r="L21" s="267">
        <f>'Job Survey'!F77</f>
        <v>45000</v>
      </c>
      <c r="M21" s="267">
        <f>'Job Survey'!G77</f>
        <v>78946.01999999999</v>
      </c>
      <c r="N21" s="220"/>
      <c r="O21" s="222"/>
      <c r="P21" s="573"/>
      <c r="Q21" s="574"/>
      <c r="R21" s="575"/>
      <c r="U21" s="140"/>
      <c r="V21" s="140"/>
      <c r="W21" s="140"/>
      <c r="X21" s="140"/>
      <c r="Y21" s="140"/>
      <c r="Z21" s="140"/>
      <c r="AA21" s="140"/>
      <c r="AB21" s="140"/>
      <c r="AC21" s="140"/>
    </row>
    <row r="22" spans="3:29" x14ac:dyDescent="0.25">
      <c r="C22" s="266">
        <f t="shared" si="0"/>
        <v>10</v>
      </c>
      <c r="D22" s="265" t="s">
        <v>379</v>
      </c>
      <c r="E22" s="220"/>
      <c r="F22" s="220"/>
      <c r="G22" s="220"/>
      <c r="H22" s="220"/>
      <c r="I22" s="220"/>
      <c r="J22" s="220"/>
      <c r="K22" s="220"/>
      <c r="L22" s="267">
        <f>'Job Survey'!F87</f>
        <v>119999.99999999999</v>
      </c>
      <c r="M22" s="267">
        <f>'Job Survey'!G87</f>
        <v>178433.52</v>
      </c>
      <c r="N22" s="220"/>
      <c r="O22" s="222"/>
      <c r="P22" s="573"/>
      <c r="Q22" s="574"/>
      <c r="R22" s="575"/>
      <c r="U22" s="140"/>
      <c r="V22" s="140"/>
      <c r="W22" s="140"/>
      <c r="X22" s="140"/>
      <c r="Y22" s="140"/>
      <c r="Z22" s="140"/>
      <c r="AA22" s="140"/>
      <c r="AB22" s="140"/>
      <c r="AC22" s="140"/>
    </row>
    <row r="23" spans="3:29" x14ac:dyDescent="0.25">
      <c r="C23" s="266"/>
      <c r="D23" s="265"/>
      <c r="E23" s="220"/>
      <c r="F23" s="220"/>
      <c r="G23" s="220"/>
      <c r="H23" s="220"/>
      <c r="I23" s="220"/>
      <c r="J23" s="220"/>
      <c r="K23" s="220"/>
      <c r="L23" s="267"/>
      <c r="M23" s="267"/>
      <c r="N23" s="220"/>
      <c r="O23" s="222"/>
      <c r="P23" s="573"/>
      <c r="Q23" s="574"/>
      <c r="R23" s="575"/>
      <c r="U23" s="140"/>
      <c r="V23" s="140"/>
      <c r="W23" s="140"/>
      <c r="X23" s="140"/>
      <c r="Y23" s="140"/>
      <c r="Z23" s="140"/>
      <c r="AA23" s="140"/>
      <c r="AB23" s="140"/>
      <c r="AC23" s="140"/>
    </row>
    <row r="24" spans="3:29" ht="15.75" thickBot="1" x14ac:dyDescent="0.3">
      <c r="C24" s="223"/>
      <c r="D24" s="224"/>
      <c r="E24" s="224"/>
      <c r="F24" s="224"/>
      <c r="G24" s="224"/>
      <c r="H24" s="224"/>
      <c r="I24" s="224"/>
      <c r="J24" s="224"/>
      <c r="K24" s="224"/>
      <c r="L24" s="225" t="s">
        <v>30</v>
      </c>
      <c r="M24" s="226">
        <f>SUM(M12:M23)</f>
        <v>1599155.7999999998</v>
      </c>
      <c r="N24" s="224"/>
      <c r="O24" s="227"/>
      <c r="P24" s="576"/>
      <c r="Q24" s="577"/>
      <c r="R24" s="578"/>
      <c r="U24" s="140"/>
      <c r="V24" s="140"/>
      <c r="W24" s="140"/>
      <c r="X24" s="140"/>
      <c r="Y24" s="140"/>
      <c r="Z24" s="140"/>
      <c r="AA24" s="140"/>
      <c r="AB24" s="140"/>
      <c r="AC24" s="140"/>
    </row>
    <row r="25" spans="3:29" ht="15" customHeight="1" x14ac:dyDescent="0.25">
      <c r="C25" s="228" t="s">
        <v>29</v>
      </c>
      <c r="D25" s="229"/>
      <c r="E25" s="230"/>
      <c r="F25" s="230"/>
      <c r="G25" s="230"/>
      <c r="H25" s="230"/>
      <c r="I25" s="230"/>
      <c r="J25" s="230"/>
      <c r="K25" s="230"/>
      <c r="L25" s="268" t="s">
        <v>753</v>
      </c>
      <c r="M25" s="268" t="s">
        <v>754</v>
      </c>
      <c r="N25" s="230"/>
      <c r="O25" s="231"/>
      <c r="P25" s="553" t="s">
        <v>1232</v>
      </c>
      <c r="Q25" s="554"/>
      <c r="R25" s="555"/>
      <c r="U25" s="140"/>
      <c r="V25" s="140"/>
      <c r="W25" s="140"/>
      <c r="X25" s="140"/>
      <c r="Y25" s="140"/>
      <c r="Z25" s="140"/>
      <c r="AA25" s="140"/>
      <c r="AB25" s="140"/>
      <c r="AC25" s="140"/>
    </row>
    <row r="26" spans="3:29" x14ac:dyDescent="0.25">
      <c r="C26" s="232"/>
      <c r="D26" s="233" t="s">
        <v>124</v>
      </c>
      <c r="E26" s="234"/>
      <c r="F26" s="234"/>
      <c r="G26" s="234"/>
      <c r="H26" s="234"/>
      <c r="I26" s="234"/>
      <c r="J26" s="234"/>
      <c r="K26" s="234"/>
      <c r="L26" s="234"/>
      <c r="M26" s="235"/>
      <c r="N26" s="234"/>
      <c r="O26" s="236"/>
      <c r="P26" s="556"/>
      <c r="Q26" s="557"/>
      <c r="R26" s="558"/>
      <c r="U26" s="140"/>
      <c r="V26" s="140"/>
      <c r="W26" s="140"/>
      <c r="X26" s="140"/>
      <c r="Y26" s="140"/>
      <c r="Z26" s="140"/>
      <c r="AA26" s="140"/>
      <c r="AB26" s="140"/>
      <c r="AC26" s="140"/>
    </row>
    <row r="27" spans="3:29" x14ac:dyDescent="0.25">
      <c r="C27" s="232"/>
      <c r="D27" s="234" t="s">
        <v>64</v>
      </c>
      <c r="E27" s="234"/>
      <c r="F27" s="234"/>
      <c r="G27" s="234"/>
      <c r="H27" s="234"/>
      <c r="I27" s="234"/>
      <c r="J27" s="234"/>
      <c r="K27" s="234"/>
      <c r="L27" s="237">
        <v>400000</v>
      </c>
      <c r="M27" s="237">
        <f t="shared" ref="M27:M37" si="1">L27</f>
        <v>400000</v>
      </c>
      <c r="N27" s="238" t="s">
        <v>127</v>
      </c>
      <c r="O27" s="239">
        <v>60</v>
      </c>
      <c r="P27" s="556"/>
      <c r="Q27" s="557"/>
      <c r="R27" s="558"/>
      <c r="U27" s="140"/>
      <c r="V27" s="140"/>
      <c r="W27" s="140"/>
      <c r="X27" s="140"/>
      <c r="Y27" s="140"/>
      <c r="Z27" s="140"/>
      <c r="AA27" s="140"/>
      <c r="AB27" s="140"/>
      <c r="AC27" s="140"/>
    </row>
    <row r="28" spans="3:29" x14ac:dyDescent="0.25">
      <c r="C28" s="232"/>
      <c r="D28" s="234" t="s">
        <v>65</v>
      </c>
      <c r="E28" s="234"/>
      <c r="F28" s="234"/>
      <c r="G28" s="234"/>
      <c r="H28" s="234"/>
      <c r="I28" s="240" t="s">
        <v>130</v>
      </c>
      <c r="J28" s="234"/>
      <c r="K28" s="234"/>
      <c r="L28" s="237">
        <v>150000</v>
      </c>
      <c r="M28" s="237">
        <f t="shared" si="1"/>
        <v>150000</v>
      </c>
      <c r="N28" s="238" t="s">
        <v>127</v>
      </c>
      <c r="O28" s="239">
        <v>45</v>
      </c>
      <c r="P28" s="556"/>
      <c r="Q28" s="557"/>
      <c r="R28" s="558"/>
      <c r="U28" s="140"/>
      <c r="V28" s="140"/>
      <c r="W28" s="140"/>
      <c r="X28" s="140"/>
      <c r="Y28" s="140"/>
      <c r="Z28" s="140"/>
      <c r="AA28" s="140"/>
      <c r="AB28" s="140"/>
      <c r="AC28" s="140"/>
    </row>
    <row r="29" spans="3:29" x14ac:dyDescent="0.25">
      <c r="C29" s="232"/>
      <c r="D29" s="234" t="s">
        <v>66</v>
      </c>
      <c r="E29" s="234"/>
      <c r="F29" s="234"/>
      <c r="G29" s="234"/>
      <c r="H29" s="234"/>
      <c r="I29" s="240" t="s">
        <v>131</v>
      </c>
      <c r="J29" s="234"/>
      <c r="K29" s="234"/>
      <c r="L29" s="237">
        <v>110000</v>
      </c>
      <c r="M29" s="237">
        <f t="shared" si="1"/>
        <v>110000</v>
      </c>
      <c r="N29" s="238" t="s">
        <v>127</v>
      </c>
      <c r="O29" s="239">
        <v>45</v>
      </c>
      <c r="P29" s="556"/>
      <c r="Q29" s="557"/>
      <c r="R29" s="558"/>
      <c r="U29" s="140"/>
      <c r="V29" s="140"/>
      <c r="W29" s="140"/>
      <c r="X29" s="140"/>
      <c r="Y29" s="140"/>
      <c r="Z29" s="140"/>
      <c r="AA29" s="140"/>
      <c r="AB29" s="140"/>
      <c r="AC29" s="140"/>
    </row>
    <row r="30" spans="3:29" x14ac:dyDescent="0.25">
      <c r="C30" s="232"/>
      <c r="D30" s="234" t="s">
        <v>67</v>
      </c>
      <c r="E30" s="234"/>
      <c r="F30" s="234"/>
      <c r="G30" s="234"/>
      <c r="H30" s="234"/>
      <c r="I30" s="234"/>
      <c r="J30" s="234"/>
      <c r="K30" s="234"/>
      <c r="L30" s="237">
        <v>75000</v>
      </c>
      <c r="M30" s="237">
        <f t="shared" si="1"/>
        <v>75000</v>
      </c>
      <c r="N30" s="238" t="s">
        <v>127</v>
      </c>
      <c r="O30" s="239">
        <v>30</v>
      </c>
      <c r="P30" s="556"/>
      <c r="Q30" s="557"/>
      <c r="R30" s="558"/>
      <c r="U30" s="140"/>
      <c r="V30" s="140"/>
      <c r="W30" s="140"/>
      <c r="X30" s="140"/>
      <c r="Y30" s="140"/>
      <c r="Z30" s="140"/>
      <c r="AA30" s="140"/>
      <c r="AB30" s="140"/>
      <c r="AC30" s="140"/>
    </row>
    <row r="31" spans="3:29" x14ac:dyDescent="0.25">
      <c r="C31" s="232"/>
      <c r="D31" s="234" t="s">
        <v>68</v>
      </c>
      <c r="E31" s="234"/>
      <c r="F31" s="234"/>
      <c r="G31" s="234"/>
      <c r="H31" s="234"/>
      <c r="I31" s="240"/>
      <c r="J31" s="234"/>
      <c r="K31" s="234"/>
      <c r="L31" s="237">
        <v>35000</v>
      </c>
      <c r="M31" s="237">
        <f t="shared" si="1"/>
        <v>35000</v>
      </c>
      <c r="N31" s="238" t="s">
        <v>127</v>
      </c>
      <c r="O31" s="239">
        <v>30</v>
      </c>
      <c r="P31" s="556"/>
      <c r="Q31" s="557"/>
      <c r="R31" s="558"/>
      <c r="U31" s="140"/>
      <c r="V31" s="140"/>
      <c r="W31" s="140"/>
      <c r="X31" s="140"/>
      <c r="Y31" s="140"/>
      <c r="Z31" s="140"/>
      <c r="AA31" s="140"/>
      <c r="AB31" s="140"/>
      <c r="AC31" s="140"/>
    </row>
    <row r="32" spans="3:29" x14ac:dyDescent="0.25">
      <c r="C32" s="232"/>
      <c r="D32" s="234" t="s">
        <v>69</v>
      </c>
      <c r="E32" s="234"/>
      <c r="F32" s="234"/>
      <c r="G32" s="234"/>
      <c r="H32" s="234"/>
      <c r="I32" s="240"/>
      <c r="J32" s="234"/>
      <c r="K32" s="234"/>
      <c r="L32" s="237">
        <v>5000</v>
      </c>
      <c r="M32" s="237">
        <f t="shared" si="1"/>
        <v>5000</v>
      </c>
      <c r="N32" s="238" t="s">
        <v>127</v>
      </c>
      <c r="O32" s="239">
        <v>30</v>
      </c>
      <c r="P32" s="556"/>
      <c r="Q32" s="557"/>
      <c r="R32" s="558"/>
      <c r="U32" s="140"/>
      <c r="V32" s="140"/>
      <c r="W32" s="140"/>
      <c r="X32" s="140"/>
      <c r="Y32" s="140"/>
      <c r="Z32" s="140"/>
      <c r="AA32" s="140"/>
      <c r="AB32" s="140"/>
      <c r="AC32" s="140"/>
    </row>
    <row r="33" spans="3:29" x14ac:dyDescent="0.25">
      <c r="C33" s="232"/>
      <c r="D33" s="234" t="s">
        <v>70</v>
      </c>
      <c r="E33" s="234"/>
      <c r="F33" s="234"/>
      <c r="G33" s="234"/>
      <c r="H33" s="234"/>
      <c r="I33" s="240"/>
      <c r="J33" s="234"/>
      <c r="K33" s="234"/>
      <c r="L33" s="237">
        <v>40000</v>
      </c>
      <c r="M33" s="237">
        <f t="shared" si="1"/>
        <v>40000</v>
      </c>
      <c r="N33" s="238" t="s">
        <v>127</v>
      </c>
      <c r="O33" s="239">
        <v>30</v>
      </c>
      <c r="P33" s="556"/>
      <c r="Q33" s="557"/>
      <c r="R33" s="558"/>
      <c r="U33" s="140"/>
      <c r="V33" s="140"/>
      <c r="W33" s="140"/>
      <c r="X33" s="140"/>
      <c r="Y33" s="140"/>
      <c r="Z33" s="140"/>
      <c r="AA33" s="140"/>
      <c r="AB33" s="140"/>
      <c r="AC33" s="140"/>
    </row>
    <row r="34" spans="3:29" x14ac:dyDescent="0.25">
      <c r="C34" s="232"/>
      <c r="D34" s="234" t="s">
        <v>71</v>
      </c>
      <c r="E34" s="234"/>
      <c r="F34" s="234"/>
      <c r="G34" s="234"/>
      <c r="H34" s="234"/>
      <c r="I34" s="240"/>
      <c r="J34" s="234"/>
      <c r="K34" s="234"/>
      <c r="L34" s="237">
        <v>160000</v>
      </c>
      <c r="M34" s="237">
        <f t="shared" si="1"/>
        <v>160000</v>
      </c>
      <c r="N34" s="238" t="s">
        <v>127</v>
      </c>
      <c r="O34" s="239">
        <v>30</v>
      </c>
      <c r="P34" s="556"/>
      <c r="Q34" s="557"/>
      <c r="R34" s="558"/>
      <c r="U34" s="140"/>
      <c r="V34" s="140"/>
      <c r="W34" s="140"/>
      <c r="X34" s="140"/>
      <c r="Y34" s="140"/>
      <c r="Z34" s="140"/>
      <c r="AA34" s="140"/>
      <c r="AB34" s="140"/>
      <c r="AC34" s="140"/>
    </row>
    <row r="35" spans="3:29" x14ac:dyDescent="0.25">
      <c r="C35" s="232"/>
      <c r="D35" s="234" t="s">
        <v>72</v>
      </c>
      <c r="E35" s="234"/>
      <c r="F35" s="234"/>
      <c r="G35" s="234"/>
      <c r="H35" s="234"/>
      <c r="I35" s="234"/>
      <c r="J35" s="234"/>
      <c r="K35" s="234"/>
      <c r="L35" s="237">
        <v>15000</v>
      </c>
      <c r="M35" s="237">
        <f t="shared" si="1"/>
        <v>15000</v>
      </c>
      <c r="N35" s="238" t="s">
        <v>127</v>
      </c>
      <c r="O35" s="239">
        <v>30</v>
      </c>
      <c r="P35" s="556"/>
      <c r="Q35" s="557"/>
      <c r="R35" s="558"/>
      <c r="U35" s="140"/>
      <c r="V35" s="140"/>
      <c r="W35" s="140"/>
      <c r="X35" s="140"/>
      <c r="Y35" s="140"/>
      <c r="Z35" s="140"/>
      <c r="AA35" s="140"/>
      <c r="AB35" s="140"/>
      <c r="AC35" s="140"/>
    </row>
    <row r="36" spans="3:29" ht="15" customHeight="1" x14ac:dyDescent="0.25">
      <c r="C36" s="232"/>
      <c r="D36" s="234" t="s">
        <v>73</v>
      </c>
      <c r="E36" s="234"/>
      <c r="F36" s="234"/>
      <c r="G36" s="234"/>
      <c r="H36" s="234"/>
      <c r="I36" s="234"/>
      <c r="J36" s="234"/>
      <c r="K36" s="234"/>
      <c r="L36" s="237">
        <v>75000</v>
      </c>
      <c r="M36" s="237">
        <f t="shared" si="1"/>
        <v>75000</v>
      </c>
      <c r="N36" s="238" t="s">
        <v>127</v>
      </c>
      <c r="O36" s="239">
        <v>30</v>
      </c>
      <c r="P36" s="556"/>
      <c r="Q36" s="557"/>
      <c r="R36" s="558"/>
      <c r="U36" s="140"/>
      <c r="V36" s="140"/>
      <c r="W36" s="140"/>
      <c r="X36" s="140"/>
      <c r="Y36" s="140"/>
      <c r="Z36" s="140"/>
      <c r="AA36" s="140"/>
      <c r="AB36" s="140"/>
      <c r="AC36" s="140"/>
    </row>
    <row r="37" spans="3:29" x14ac:dyDescent="0.25">
      <c r="C37" s="232"/>
      <c r="D37" s="234" t="s">
        <v>74</v>
      </c>
      <c r="E37" s="234"/>
      <c r="F37" s="234"/>
      <c r="G37" s="234"/>
      <c r="H37" s="234"/>
      <c r="I37" s="234"/>
      <c r="J37" s="234"/>
      <c r="K37" s="234"/>
      <c r="L37" s="237">
        <v>60000</v>
      </c>
      <c r="M37" s="237">
        <f t="shared" si="1"/>
        <v>60000</v>
      </c>
      <c r="N37" s="238" t="s">
        <v>127</v>
      </c>
      <c r="O37" s="239">
        <v>30</v>
      </c>
      <c r="P37" s="556"/>
      <c r="Q37" s="557"/>
      <c r="R37" s="558"/>
      <c r="U37" s="140"/>
      <c r="V37" s="140"/>
      <c r="W37" s="140"/>
      <c r="X37" s="140"/>
      <c r="Y37" s="140"/>
      <c r="Z37" s="140"/>
      <c r="AA37" s="140"/>
      <c r="AB37" s="140"/>
      <c r="AC37" s="140"/>
    </row>
    <row r="38" spans="3:29" x14ac:dyDescent="0.25">
      <c r="C38" s="232"/>
      <c r="D38" s="234"/>
      <c r="E38" s="234"/>
      <c r="F38" s="234"/>
      <c r="G38" s="234"/>
      <c r="H38" s="234"/>
      <c r="I38" s="234"/>
      <c r="J38" s="234"/>
      <c r="K38" s="234"/>
      <c r="L38" s="241" t="s">
        <v>30</v>
      </c>
      <c r="M38" s="242">
        <f>SUM(M27:M37)</f>
        <v>1125000</v>
      </c>
      <c r="N38" s="238"/>
      <c r="O38" s="239"/>
      <c r="P38" s="556"/>
      <c r="Q38" s="557"/>
      <c r="R38" s="558"/>
      <c r="U38" s="140"/>
      <c r="V38" s="140"/>
      <c r="W38" s="140"/>
      <c r="X38" s="140"/>
      <c r="Y38" s="140"/>
      <c r="Z38" s="140"/>
      <c r="AA38" s="140"/>
      <c r="AB38" s="140"/>
      <c r="AC38" s="140"/>
    </row>
    <row r="39" spans="3:29" x14ac:dyDescent="0.25">
      <c r="C39" s="232"/>
      <c r="D39" s="233" t="s">
        <v>752</v>
      </c>
      <c r="E39" s="234"/>
      <c r="F39" s="234"/>
      <c r="G39" s="234"/>
      <c r="H39" s="234"/>
      <c r="I39" s="234"/>
      <c r="J39" s="234"/>
      <c r="K39" s="234"/>
      <c r="L39" s="234"/>
      <c r="M39" s="234"/>
      <c r="N39" s="238"/>
      <c r="O39" s="239"/>
      <c r="P39" s="556"/>
      <c r="Q39" s="557"/>
      <c r="R39" s="558"/>
      <c r="U39" s="140"/>
      <c r="V39" s="140"/>
      <c r="W39" s="140"/>
      <c r="X39" s="140"/>
      <c r="Y39" s="140"/>
      <c r="Z39" s="140"/>
      <c r="AA39" s="140"/>
      <c r="AB39" s="140"/>
      <c r="AC39" s="140"/>
    </row>
    <row r="40" spans="3:29" x14ac:dyDescent="0.25">
      <c r="C40" s="232"/>
      <c r="D40" s="234" t="s">
        <v>75</v>
      </c>
      <c r="E40" s="234"/>
      <c r="F40" s="234"/>
      <c r="G40" s="234"/>
      <c r="H40" s="234"/>
      <c r="I40" s="234"/>
      <c r="J40" s="234"/>
      <c r="K40" s="234"/>
      <c r="L40" s="237">
        <v>30000</v>
      </c>
      <c r="M40" s="237">
        <f t="shared" ref="M40:M48" si="2">L40</f>
        <v>30000</v>
      </c>
      <c r="N40" s="238" t="s">
        <v>127</v>
      </c>
      <c r="O40" s="239">
        <v>30</v>
      </c>
      <c r="P40" s="556"/>
      <c r="Q40" s="557"/>
      <c r="R40" s="558"/>
      <c r="U40" s="140"/>
      <c r="V40" s="140"/>
      <c r="W40" s="140"/>
      <c r="X40" s="140"/>
      <c r="Y40" s="140"/>
      <c r="Z40" s="140"/>
      <c r="AA40" s="140"/>
      <c r="AB40" s="140"/>
      <c r="AC40" s="140"/>
    </row>
    <row r="41" spans="3:29" x14ac:dyDescent="0.25">
      <c r="C41" s="232"/>
      <c r="D41" s="234" t="s">
        <v>76</v>
      </c>
      <c r="E41" s="234"/>
      <c r="F41" s="234"/>
      <c r="G41" s="234"/>
      <c r="H41" s="234"/>
      <c r="I41" s="234"/>
      <c r="J41" s="234"/>
      <c r="K41" s="234"/>
      <c r="L41" s="237">
        <v>18000</v>
      </c>
      <c r="M41" s="237">
        <f t="shared" si="2"/>
        <v>18000</v>
      </c>
      <c r="N41" s="238" t="s">
        <v>127</v>
      </c>
      <c r="O41" s="239">
        <v>30</v>
      </c>
      <c r="P41" s="556"/>
      <c r="Q41" s="557"/>
      <c r="R41" s="558"/>
      <c r="U41" s="140"/>
      <c r="V41" s="140"/>
      <c r="W41" s="140"/>
      <c r="X41" s="140"/>
      <c r="Y41" s="140"/>
      <c r="Z41" s="140"/>
      <c r="AA41" s="140"/>
      <c r="AB41" s="140"/>
      <c r="AC41" s="140"/>
    </row>
    <row r="42" spans="3:29" x14ac:dyDescent="0.25">
      <c r="C42" s="232"/>
      <c r="D42" s="234" t="s">
        <v>77</v>
      </c>
      <c r="E42" s="234"/>
      <c r="F42" s="234"/>
      <c r="G42" s="234"/>
      <c r="H42" s="234"/>
      <c r="I42" s="240" t="s">
        <v>130</v>
      </c>
      <c r="J42" s="234"/>
      <c r="K42" s="234"/>
      <c r="L42" s="237">
        <v>3000</v>
      </c>
      <c r="M42" s="237">
        <f t="shared" si="2"/>
        <v>3000</v>
      </c>
      <c r="N42" s="238" t="s">
        <v>127</v>
      </c>
      <c r="O42" s="239">
        <v>30</v>
      </c>
      <c r="P42" s="556"/>
      <c r="Q42" s="557"/>
      <c r="R42" s="558"/>
      <c r="U42" s="140"/>
      <c r="V42" s="140"/>
      <c r="W42" s="140"/>
      <c r="X42" s="140"/>
      <c r="Y42" s="140"/>
      <c r="Z42" s="140"/>
      <c r="AA42" s="140"/>
      <c r="AB42" s="140"/>
      <c r="AC42" s="140"/>
    </row>
    <row r="43" spans="3:29" ht="15" customHeight="1" x14ac:dyDescent="0.25">
      <c r="C43" s="232"/>
      <c r="D43" s="234" t="s">
        <v>78</v>
      </c>
      <c r="E43" s="234"/>
      <c r="F43" s="234"/>
      <c r="G43" s="234"/>
      <c r="H43" s="234"/>
      <c r="I43" s="240" t="s">
        <v>131</v>
      </c>
      <c r="J43" s="234"/>
      <c r="K43" s="234"/>
      <c r="L43" s="237">
        <v>6000</v>
      </c>
      <c r="M43" s="237">
        <f t="shared" si="2"/>
        <v>6000</v>
      </c>
      <c r="N43" s="238" t="s">
        <v>127</v>
      </c>
      <c r="O43" s="239">
        <v>30</v>
      </c>
      <c r="P43" s="556"/>
      <c r="Q43" s="557"/>
      <c r="R43" s="558"/>
      <c r="U43" s="140"/>
      <c r="V43" s="140"/>
      <c r="W43" s="140"/>
      <c r="X43" s="140"/>
      <c r="Y43" s="140"/>
      <c r="Z43" s="140"/>
      <c r="AA43" s="140"/>
      <c r="AB43" s="140"/>
      <c r="AC43" s="140"/>
    </row>
    <row r="44" spans="3:29" x14ac:dyDescent="0.25">
      <c r="C44" s="232"/>
      <c r="D44" s="234" t="s">
        <v>79</v>
      </c>
      <c r="E44" s="234"/>
      <c r="F44" s="234"/>
      <c r="G44" s="234"/>
      <c r="H44" s="234"/>
      <c r="I44" s="234"/>
      <c r="J44" s="234"/>
      <c r="K44" s="234"/>
      <c r="L44" s="237">
        <v>35000</v>
      </c>
      <c r="M44" s="237">
        <f t="shared" si="2"/>
        <v>35000</v>
      </c>
      <c r="N44" s="238" t="s">
        <v>127</v>
      </c>
      <c r="O44" s="239">
        <v>30</v>
      </c>
      <c r="P44" s="556"/>
      <c r="Q44" s="557"/>
      <c r="R44" s="558"/>
      <c r="U44" s="140"/>
      <c r="V44" s="140"/>
      <c r="W44" s="140"/>
      <c r="X44" s="140"/>
      <c r="Y44" s="140"/>
      <c r="Z44" s="140"/>
      <c r="AA44" s="140"/>
      <c r="AB44" s="140"/>
      <c r="AC44" s="140"/>
    </row>
    <row r="45" spans="3:29" x14ac:dyDescent="0.25">
      <c r="C45" s="232"/>
      <c r="D45" s="234" t="s">
        <v>80</v>
      </c>
      <c r="E45" s="234"/>
      <c r="F45" s="234"/>
      <c r="G45" s="234"/>
      <c r="H45" s="234"/>
      <c r="I45" s="240"/>
      <c r="J45" s="234"/>
      <c r="K45" s="234"/>
      <c r="L45" s="237">
        <v>1500</v>
      </c>
      <c r="M45" s="237">
        <f t="shared" si="2"/>
        <v>1500</v>
      </c>
      <c r="N45" s="238" t="s">
        <v>127</v>
      </c>
      <c r="O45" s="239">
        <v>30</v>
      </c>
      <c r="P45" s="556"/>
      <c r="Q45" s="557"/>
      <c r="R45" s="558"/>
      <c r="U45" s="140"/>
      <c r="V45" s="140"/>
      <c r="W45" s="140"/>
      <c r="X45" s="140"/>
      <c r="Y45" s="140"/>
      <c r="Z45" s="140"/>
      <c r="AA45" s="140"/>
      <c r="AB45" s="140"/>
      <c r="AC45" s="140"/>
    </row>
    <row r="46" spans="3:29" x14ac:dyDescent="0.25">
      <c r="C46" s="232"/>
      <c r="D46" s="234" t="s">
        <v>81</v>
      </c>
      <c r="E46" s="234"/>
      <c r="F46" s="234"/>
      <c r="G46" s="234"/>
      <c r="H46" s="234"/>
      <c r="I46" s="240"/>
      <c r="J46" s="234"/>
      <c r="K46" s="234"/>
      <c r="L46" s="237">
        <v>10000</v>
      </c>
      <c r="M46" s="237">
        <f t="shared" si="2"/>
        <v>10000</v>
      </c>
      <c r="N46" s="238" t="s">
        <v>127</v>
      </c>
      <c r="O46" s="239">
        <v>30</v>
      </c>
      <c r="P46" s="556"/>
      <c r="Q46" s="557"/>
      <c r="R46" s="558"/>
      <c r="U46" s="140"/>
      <c r="V46" s="140"/>
      <c r="W46" s="140"/>
      <c r="X46" s="140"/>
      <c r="Y46" s="140"/>
      <c r="Z46" s="140"/>
      <c r="AA46" s="140"/>
      <c r="AB46" s="140"/>
      <c r="AC46" s="140"/>
    </row>
    <row r="47" spans="3:29" x14ac:dyDescent="0.25">
      <c r="C47" s="232"/>
      <c r="D47" s="234" t="s">
        <v>82</v>
      </c>
      <c r="E47" s="234"/>
      <c r="F47" s="234"/>
      <c r="G47" s="234"/>
      <c r="H47" s="234"/>
      <c r="I47" s="240"/>
      <c r="J47" s="234"/>
      <c r="K47" s="234"/>
      <c r="L47" s="237">
        <v>30000</v>
      </c>
      <c r="M47" s="237">
        <f t="shared" si="2"/>
        <v>30000</v>
      </c>
      <c r="N47" s="238" t="s">
        <v>127</v>
      </c>
      <c r="O47" s="239">
        <v>30</v>
      </c>
      <c r="P47" s="556"/>
      <c r="Q47" s="557"/>
      <c r="R47" s="558"/>
      <c r="U47" s="140"/>
      <c r="V47" s="140"/>
      <c r="W47" s="140"/>
      <c r="X47" s="140"/>
      <c r="Y47" s="140"/>
      <c r="Z47" s="140"/>
      <c r="AA47" s="140"/>
      <c r="AB47" s="140"/>
      <c r="AC47" s="140"/>
    </row>
    <row r="48" spans="3:29" x14ac:dyDescent="0.25">
      <c r="C48" s="232"/>
      <c r="D48" s="234" t="s">
        <v>755</v>
      </c>
      <c r="E48" s="234"/>
      <c r="F48" s="234"/>
      <c r="G48" s="234"/>
      <c r="H48" s="234"/>
      <c r="I48" s="240"/>
      <c r="J48" s="234"/>
      <c r="K48" s="234"/>
      <c r="L48" s="237">
        <v>85000</v>
      </c>
      <c r="M48" s="237">
        <f t="shared" si="2"/>
        <v>85000</v>
      </c>
      <c r="N48" s="238" t="s">
        <v>125</v>
      </c>
      <c r="O48" s="239">
        <v>30</v>
      </c>
      <c r="P48" s="556"/>
      <c r="Q48" s="557"/>
      <c r="R48" s="558"/>
      <c r="U48" s="140"/>
      <c r="V48" s="140"/>
      <c r="W48" s="140"/>
      <c r="X48" s="140"/>
      <c r="Y48" s="140"/>
      <c r="Z48" s="140"/>
      <c r="AA48" s="140"/>
      <c r="AB48" s="140"/>
      <c r="AC48" s="140"/>
    </row>
    <row r="49" spans="3:29" x14ac:dyDescent="0.25">
      <c r="C49" s="232"/>
      <c r="D49" s="234"/>
      <c r="E49" s="234"/>
      <c r="F49" s="234"/>
      <c r="G49" s="234"/>
      <c r="H49" s="234"/>
      <c r="I49" s="240"/>
      <c r="J49" s="234"/>
      <c r="K49" s="234"/>
      <c r="L49" s="237"/>
      <c r="M49" s="237"/>
      <c r="N49" s="238"/>
      <c r="O49" s="239"/>
      <c r="P49" s="556"/>
      <c r="Q49" s="557"/>
      <c r="R49" s="558"/>
      <c r="U49" s="140"/>
      <c r="V49" s="140"/>
      <c r="W49" s="140"/>
      <c r="X49" s="140"/>
      <c r="Y49" s="140"/>
      <c r="Z49" s="140"/>
      <c r="AA49" s="140"/>
      <c r="AB49" s="140"/>
      <c r="AC49" s="140"/>
    </row>
    <row r="50" spans="3:29" ht="15.75" thickBot="1" x14ac:dyDescent="0.3">
      <c r="C50" s="243"/>
      <c r="D50" s="244"/>
      <c r="E50" s="244"/>
      <c r="F50" s="244"/>
      <c r="G50" s="244"/>
      <c r="H50" s="244"/>
      <c r="I50" s="244"/>
      <c r="J50" s="244"/>
      <c r="K50" s="244"/>
      <c r="L50" s="245" t="s">
        <v>30</v>
      </c>
      <c r="M50" s="246">
        <f>SUM(M40:M48)</f>
        <v>218500</v>
      </c>
      <c r="N50" s="238"/>
      <c r="O50" s="239"/>
      <c r="P50" s="559"/>
      <c r="Q50" s="560"/>
      <c r="R50" s="561"/>
      <c r="U50" s="140"/>
      <c r="V50" s="140"/>
      <c r="W50" s="140"/>
      <c r="X50" s="140"/>
      <c r="Y50" s="140"/>
      <c r="Z50" s="140"/>
      <c r="AA50" s="140"/>
      <c r="AB50" s="140"/>
      <c r="AC50" s="140"/>
    </row>
    <row r="51" spans="3:29" x14ac:dyDescent="0.25">
      <c r="C51" s="214" t="s">
        <v>32</v>
      </c>
      <c r="D51" s="215"/>
      <c r="E51" s="216"/>
      <c r="F51" s="216"/>
      <c r="G51" s="216"/>
      <c r="H51" s="216"/>
      <c r="I51" s="216"/>
      <c r="J51" s="216"/>
      <c r="K51" s="216"/>
      <c r="L51" s="216"/>
      <c r="M51" s="216"/>
      <c r="N51" s="216"/>
      <c r="O51" s="218"/>
      <c r="P51" s="570" t="s">
        <v>143</v>
      </c>
      <c r="Q51" s="571"/>
      <c r="R51" s="572"/>
      <c r="U51" s="140"/>
      <c r="V51" s="140"/>
      <c r="W51" s="140"/>
      <c r="X51" s="140"/>
      <c r="Y51" s="140"/>
      <c r="Z51" s="140"/>
      <c r="AA51" s="140"/>
      <c r="AB51" s="140"/>
      <c r="AC51" s="140"/>
    </row>
    <row r="52" spans="3:29" x14ac:dyDescent="0.25">
      <c r="C52" s="219"/>
      <c r="D52" s="220" t="s">
        <v>83</v>
      </c>
      <c r="E52" s="220"/>
      <c r="F52" s="220"/>
      <c r="G52" s="220"/>
      <c r="H52" s="220"/>
      <c r="I52" s="220"/>
      <c r="J52" s="220"/>
      <c r="K52" s="220"/>
      <c r="L52" s="220"/>
      <c r="M52" s="220"/>
      <c r="N52" s="247" t="s">
        <v>141</v>
      </c>
      <c r="O52" s="248">
        <v>90</v>
      </c>
      <c r="P52" s="573"/>
      <c r="Q52" s="574"/>
      <c r="R52" s="575"/>
      <c r="U52" s="140"/>
      <c r="V52" s="140"/>
      <c r="W52" s="140"/>
      <c r="X52" s="140"/>
      <c r="Y52" s="140"/>
      <c r="Z52" s="140"/>
      <c r="AA52" s="140"/>
      <c r="AB52" s="140"/>
      <c r="AC52" s="140"/>
    </row>
    <row r="53" spans="3:29" x14ac:dyDescent="0.25">
      <c r="C53" s="219"/>
      <c r="D53" s="220" t="s">
        <v>84</v>
      </c>
      <c r="E53" s="220"/>
      <c r="F53" s="220"/>
      <c r="G53" s="220"/>
      <c r="H53" s="220"/>
      <c r="I53" s="220"/>
      <c r="J53" s="220"/>
      <c r="K53" s="220"/>
      <c r="L53" s="220"/>
      <c r="M53" s="220"/>
      <c r="N53" s="247" t="s">
        <v>141</v>
      </c>
      <c r="O53" s="248">
        <v>90</v>
      </c>
      <c r="P53" s="573"/>
      <c r="Q53" s="574"/>
      <c r="R53" s="575"/>
      <c r="U53" s="140"/>
      <c r="V53" s="140"/>
      <c r="W53" s="140"/>
      <c r="X53" s="140"/>
      <c r="Y53" s="140"/>
      <c r="Z53" s="140"/>
      <c r="AA53" s="140"/>
      <c r="AB53" s="140"/>
      <c r="AC53" s="140"/>
    </row>
    <row r="54" spans="3:29" ht="15.75" thickBot="1" x14ac:dyDescent="0.3">
      <c r="C54" s="223"/>
      <c r="D54" s="224" t="s">
        <v>85</v>
      </c>
      <c r="E54" s="224"/>
      <c r="F54" s="224"/>
      <c r="G54" s="224"/>
      <c r="H54" s="224"/>
      <c r="I54" s="224"/>
      <c r="J54" s="224"/>
      <c r="K54" s="224"/>
      <c r="L54" s="224"/>
      <c r="M54" s="224"/>
      <c r="N54" s="249" t="s">
        <v>141</v>
      </c>
      <c r="O54" s="250">
        <v>30</v>
      </c>
      <c r="P54" s="576"/>
      <c r="Q54" s="577"/>
      <c r="R54" s="578"/>
      <c r="U54" s="140"/>
      <c r="V54" s="140"/>
      <c r="W54" s="140"/>
      <c r="X54" s="140"/>
      <c r="Y54" s="140"/>
      <c r="Z54" s="140"/>
      <c r="AA54" s="140"/>
      <c r="AB54" s="140"/>
      <c r="AC54" s="140"/>
    </row>
    <row r="55" spans="3:29" x14ac:dyDescent="0.25">
      <c r="C55" s="228" t="s">
        <v>33</v>
      </c>
      <c r="D55" s="252"/>
      <c r="E55" s="234"/>
      <c r="F55" s="234"/>
      <c r="G55" s="234"/>
      <c r="H55" s="234"/>
      <c r="I55" s="234"/>
      <c r="J55" s="234"/>
      <c r="K55" s="234"/>
      <c r="L55" s="234"/>
      <c r="M55" s="234"/>
      <c r="N55" s="234"/>
      <c r="O55" s="236"/>
      <c r="P55" s="553" t="s">
        <v>143</v>
      </c>
      <c r="Q55" s="554"/>
      <c r="R55" s="555"/>
      <c r="U55" s="140"/>
      <c r="V55" s="140"/>
      <c r="W55" s="140"/>
      <c r="X55" s="140"/>
      <c r="Y55" s="140"/>
      <c r="Z55" s="140"/>
      <c r="AA55" s="140"/>
      <c r="AB55" s="140"/>
      <c r="AC55" s="140"/>
    </row>
    <row r="56" spans="3:29" x14ac:dyDescent="0.25">
      <c r="C56" s="251" t="s">
        <v>34</v>
      </c>
      <c r="D56" s="252"/>
      <c r="E56" s="234"/>
      <c r="F56" s="234"/>
      <c r="G56" s="234"/>
      <c r="H56" s="234"/>
      <c r="I56" s="234"/>
      <c r="J56" s="234"/>
      <c r="K56" s="234"/>
      <c r="L56" s="234"/>
      <c r="M56" s="234"/>
      <c r="N56" s="234"/>
      <c r="O56" s="236"/>
      <c r="P56" s="556"/>
      <c r="Q56" s="557"/>
      <c r="R56" s="558"/>
      <c r="U56" s="140"/>
      <c r="V56" s="140"/>
      <c r="W56" s="140"/>
      <c r="X56" s="140"/>
      <c r="Y56" s="140"/>
      <c r="Z56" s="140"/>
      <c r="AA56" s="140"/>
      <c r="AB56" s="140"/>
      <c r="AC56" s="140"/>
    </row>
    <row r="57" spans="3:29" x14ac:dyDescent="0.25">
      <c r="C57" s="232"/>
      <c r="D57" s="234" t="s">
        <v>132</v>
      </c>
      <c r="E57" s="234"/>
      <c r="F57" s="234"/>
      <c r="G57" s="234"/>
      <c r="H57" s="234"/>
      <c r="I57" s="234"/>
      <c r="J57" s="234"/>
      <c r="K57" s="234"/>
      <c r="L57" s="234"/>
      <c r="M57" s="234"/>
      <c r="N57" s="238" t="s">
        <v>127</v>
      </c>
      <c r="O57" s="239">
        <v>90</v>
      </c>
      <c r="P57" s="556"/>
      <c r="Q57" s="557"/>
      <c r="R57" s="558"/>
      <c r="U57" s="140"/>
      <c r="V57" s="140"/>
      <c r="W57" s="140"/>
      <c r="X57" s="140"/>
      <c r="Y57" s="140"/>
      <c r="Z57" s="140"/>
      <c r="AA57" s="140"/>
      <c r="AB57" s="140"/>
      <c r="AC57" s="140"/>
    </row>
    <row r="58" spans="3:29" ht="15.75" thickBot="1" x14ac:dyDescent="0.3">
      <c r="C58" s="243"/>
      <c r="D58" s="244" t="s">
        <v>86</v>
      </c>
      <c r="E58" s="244"/>
      <c r="F58" s="244"/>
      <c r="G58" s="244"/>
      <c r="H58" s="244"/>
      <c r="I58" s="244"/>
      <c r="J58" s="244"/>
      <c r="K58" s="244"/>
      <c r="L58" s="244"/>
      <c r="M58" s="244"/>
      <c r="N58" s="253" t="s">
        <v>127</v>
      </c>
      <c r="O58" s="254">
        <v>60</v>
      </c>
      <c r="P58" s="559"/>
      <c r="Q58" s="560"/>
      <c r="R58" s="561"/>
      <c r="U58" s="140"/>
      <c r="V58" s="140"/>
      <c r="W58" s="140"/>
      <c r="X58" s="140"/>
      <c r="Y58" s="140"/>
      <c r="Z58" s="140"/>
      <c r="AA58" s="140"/>
      <c r="AB58" s="140"/>
      <c r="AC58" s="140"/>
    </row>
    <row r="59" spans="3:29" x14ac:dyDescent="0.25">
      <c r="C59" s="214" t="s">
        <v>35</v>
      </c>
      <c r="D59" s="215"/>
      <c r="E59" s="216"/>
      <c r="F59" s="216"/>
      <c r="G59" s="216"/>
      <c r="H59" s="216"/>
      <c r="I59" s="216"/>
      <c r="J59" s="216"/>
      <c r="K59" s="216"/>
      <c r="L59" s="216"/>
      <c r="M59" s="216"/>
      <c r="N59" s="216"/>
      <c r="O59" s="218"/>
      <c r="P59" s="570" t="s">
        <v>746</v>
      </c>
      <c r="Q59" s="571"/>
      <c r="R59" s="572"/>
      <c r="U59" s="140"/>
      <c r="V59" s="140"/>
      <c r="W59" s="140"/>
      <c r="X59" s="140"/>
      <c r="Y59" s="140"/>
      <c r="Z59" s="140"/>
      <c r="AA59" s="140"/>
      <c r="AB59" s="140"/>
      <c r="AC59" s="140"/>
    </row>
    <row r="60" spans="3:29" x14ac:dyDescent="0.25">
      <c r="C60" s="219"/>
      <c r="D60" s="220" t="s">
        <v>138</v>
      </c>
      <c r="E60" s="220"/>
      <c r="F60" s="220"/>
      <c r="G60" s="220"/>
      <c r="H60" s="220"/>
      <c r="I60" s="220"/>
      <c r="J60" s="220"/>
      <c r="K60" s="220"/>
      <c r="L60" s="220"/>
      <c r="M60" s="221">
        <v>15000</v>
      </c>
      <c r="N60" s="220"/>
      <c r="O60" s="222"/>
      <c r="P60" s="573"/>
      <c r="Q60" s="574"/>
      <c r="R60" s="575"/>
      <c r="U60" s="140"/>
      <c r="V60" s="140"/>
      <c r="W60" s="140"/>
      <c r="X60" s="140"/>
      <c r="Y60" s="140"/>
      <c r="Z60" s="140"/>
      <c r="AA60" s="140"/>
      <c r="AB60" s="140"/>
      <c r="AC60" s="140"/>
    </row>
    <row r="61" spans="3:29" x14ac:dyDescent="0.25">
      <c r="C61" s="219"/>
      <c r="D61" s="220" t="s">
        <v>139</v>
      </c>
      <c r="E61" s="220"/>
      <c r="F61" s="220"/>
      <c r="G61" s="220"/>
      <c r="H61" s="220"/>
      <c r="I61" s="220"/>
      <c r="J61" s="220"/>
      <c r="K61" s="220"/>
      <c r="L61" s="220"/>
      <c r="M61" s="221">
        <v>15000</v>
      </c>
      <c r="N61" s="220"/>
      <c r="O61" s="222"/>
      <c r="P61" s="573"/>
      <c r="Q61" s="574"/>
      <c r="R61" s="575"/>
      <c r="U61" s="140"/>
      <c r="V61" s="140"/>
      <c r="W61" s="140"/>
      <c r="X61" s="140"/>
      <c r="Y61" s="140"/>
      <c r="Z61" s="140"/>
      <c r="AA61" s="140"/>
      <c r="AB61" s="140"/>
      <c r="AC61" s="140"/>
    </row>
    <row r="62" spans="3:29" x14ac:dyDescent="0.25">
      <c r="C62" s="219"/>
      <c r="D62" s="220" t="s">
        <v>140</v>
      </c>
      <c r="E62" s="220"/>
      <c r="F62" s="220"/>
      <c r="G62" s="220"/>
      <c r="H62" s="220"/>
      <c r="I62" s="220"/>
      <c r="J62" s="220"/>
      <c r="K62" s="220"/>
      <c r="L62" s="220"/>
      <c r="M62" s="221">
        <v>15000</v>
      </c>
      <c r="N62" s="220"/>
      <c r="O62" s="222"/>
      <c r="P62" s="573"/>
      <c r="Q62" s="574"/>
      <c r="R62" s="575"/>
      <c r="U62" s="140"/>
      <c r="V62" s="140"/>
      <c r="W62" s="140"/>
      <c r="X62" s="140"/>
      <c r="Y62" s="140"/>
      <c r="Z62" s="140"/>
      <c r="AA62" s="140"/>
      <c r="AB62" s="140"/>
      <c r="AC62" s="140"/>
    </row>
    <row r="63" spans="3:29" x14ac:dyDescent="0.25">
      <c r="C63" s="219"/>
      <c r="D63" s="220" t="s">
        <v>87</v>
      </c>
      <c r="E63" s="220"/>
      <c r="F63" s="220"/>
      <c r="G63" s="220"/>
      <c r="H63" s="220"/>
      <c r="I63" s="220"/>
      <c r="J63" s="220"/>
      <c r="K63" s="220"/>
      <c r="L63" s="220"/>
      <c r="M63" s="221">
        <v>60000</v>
      </c>
      <c r="N63" s="220"/>
      <c r="O63" s="222"/>
      <c r="P63" s="573"/>
      <c r="Q63" s="574"/>
      <c r="R63" s="575"/>
      <c r="U63" s="140"/>
      <c r="V63" s="140"/>
      <c r="W63" s="140"/>
      <c r="X63" s="140"/>
      <c r="Y63" s="140"/>
      <c r="Z63" s="140"/>
      <c r="AA63" s="140"/>
      <c r="AB63" s="140"/>
      <c r="AC63" s="140"/>
    </row>
    <row r="64" spans="3:29" x14ac:dyDescent="0.25">
      <c r="C64" s="219"/>
      <c r="D64" s="220" t="s">
        <v>133</v>
      </c>
      <c r="E64" s="220"/>
      <c r="F64" s="220"/>
      <c r="G64" s="220"/>
      <c r="H64" s="220"/>
      <c r="I64" s="220"/>
      <c r="J64" s="220"/>
      <c r="K64" s="220"/>
      <c r="L64" s="220"/>
      <c r="M64" s="221">
        <v>450000</v>
      </c>
      <c r="N64" s="220"/>
      <c r="O64" s="222"/>
      <c r="P64" s="573"/>
      <c r="Q64" s="574"/>
      <c r="R64" s="575"/>
      <c r="U64" s="140"/>
      <c r="V64" s="140"/>
      <c r="W64" s="140"/>
      <c r="X64" s="140"/>
      <c r="Y64" s="140"/>
      <c r="Z64" s="140"/>
      <c r="AA64" s="140"/>
      <c r="AB64" s="140"/>
      <c r="AC64" s="140"/>
    </row>
    <row r="65" spans="3:29" x14ac:dyDescent="0.25">
      <c r="C65" s="219"/>
      <c r="D65" s="220"/>
      <c r="E65" s="220" t="s">
        <v>61</v>
      </c>
      <c r="F65" s="220"/>
      <c r="G65" s="220"/>
      <c r="H65" s="220"/>
      <c r="I65" s="220"/>
      <c r="J65" s="220"/>
      <c r="K65" s="220"/>
      <c r="L65" s="220"/>
      <c r="M65" s="255"/>
      <c r="N65" s="220"/>
      <c r="O65" s="222"/>
      <c r="P65" s="573"/>
      <c r="Q65" s="574"/>
      <c r="R65" s="575"/>
      <c r="U65" s="140"/>
      <c r="V65" s="140"/>
      <c r="W65" s="140"/>
      <c r="X65" s="140"/>
      <c r="Y65" s="140"/>
      <c r="Z65" s="140"/>
      <c r="AA65" s="140"/>
      <c r="AB65" s="140"/>
      <c r="AC65" s="140"/>
    </row>
    <row r="66" spans="3:29" x14ac:dyDescent="0.25">
      <c r="C66" s="219"/>
      <c r="D66" s="220"/>
      <c r="E66" s="220" t="s">
        <v>62</v>
      </c>
      <c r="F66" s="220"/>
      <c r="G66" s="220"/>
      <c r="H66" s="220"/>
      <c r="I66" s="220"/>
      <c r="J66" s="220"/>
      <c r="K66" s="220"/>
      <c r="L66" s="220"/>
      <c r="M66" s="255"/>
      <c r="N66" s="220"/>
      <c r="O66" s="222"/>
      <c r="P66" s="573"/>
      <c r="Q66" s="574"/>
      <c r="R66" s="575"/>
      <c r="U66" s="140"/>
      <c r="V66" s="140"/>
      <c r="W66" s="140"/>
      <c r="X66" s="140"/>
      <c r="Y66" s="140"/>
      <c r="Z66" s="140"/>
      <c r="AA66" s="140"/>
      <c r="AB66" s="140"/>
      <c r="AC66" s="140"/>
    </row>
    <row r="67" spans="3:29" x14ac:dyDescent="0.25">
      <c r="C67" s="219"/>
      <c r="D67" s="220"/>
      <c r="E67" s="220" t="s">
        <v>63</v>
      </c>
      <c r="F67" s="220"/>
      <c r="G67" s="220"/>
      <c r="H67" s="220"/>
      <c r="I67" s="220"/>
      <c r="J67" s="220"/>
      <c r="K67" s="220"/>
      <c r="L67" s="220"/>
      <c r="M67" s="255"/>
      <c r="N67" s="220"/>
      <c r="O67" s="222"/>
      <c r="P67" s="573"/>
      <c r="Q67" s="574"/>
      <c r="R67" s="575"/>
      <c r="U67" s="140"/>
      <c r="V67" s="140"/>
      <c r="W67" s="140"/>
      <c r="X67" s="140"/>
      <c r="Y67" s="140"/>
      <c r="Z67" s="140"/>
      <c r="AA67" s="140"/>
      <c r="AB67" s="140"/>
      <c r="AC67" s="140"/>
    </row>
    <row r="68" spans="3:29" x14ac:dyDescent="0.25">
      <c r="C68" s="219"/>
      <c r="D68" s="220" t="s">
        <v>128</v>
      </c>
      <c r="E68" s="220"/>
      <c r="F68" s="220"/>
      <c r="G68" s="220"/>
      <c r="H68" s="220"/>
      <c r="I68" s="220"/>
      <c r="J68" s="220"/>
      <c r="K68" s="220"/>
      <c r="L68" s="220"/>
      <c r="M68" s="221">
        <v>250000</v>
      </c>
      <c r="N68" s="220"/>
      <c r="O68" s="222"/>
      <c r="P68" s="573"/>
      <c r="Q68" s="574"/>
      <c r="R68" s="575"/>
      <c r="U68" s="140"/>
      <c r="V68" s="140"/>
      <c r="W68" s="140"/>
      <c r="X68" s="140"/>
      <c r="Y68" s="140"/>
      <c r="Z68" s="140"/>
      <c r="AA68" s="140"/>
      <c r="AB68" s="140"/>
      <c r="AC68" s="140"/>
    </row>
    <row r="69" spans="3:29" x14ac:dyDescent="0.25">
      <c r="C69" s="219"/>
      <c r="D69" s="220"/>
      <c r="E69" s="220" t="s">
        <v>88</v>
      </c>
      <c r="F69" s="220"/>
      <c r="G69" s="220"/>
      <c r="H69" s="220"/>
      <c r="I69" s="220"/>
      <c r="J69" s="220"/>
      <c r="K69" s="220"/>
      <c r="L69" s="220"/>
      <c r="M69" s="220"/>
      <c r="N69" s="220"/>
      <c r="O69" s="222"/>
      <c r="P69" s="573"/>
      <c r="Q69" s="574"/>
      <c r="R69" s="575"/>
      <c r="U69" s="140"/>
      <c r="V69" s="140"/>
      <c r="W69" s="140"/>
      <c r="X69" s="140"/>
      <c r="Y69" s="140"/>
      <c r="Z69" s="140"/>
      <c r="AA69" s="140"/>
      <c r="AB69" s="140"/>
      <c r="AC69" s="140"/>
    </row>
    <row r="70" spans="3:29" x14ac:dyDescent="0.25">
      <c r="C70" s="219"/>
      <c r="D70" s="220"/>
      <c r="E70" s="220" t="s">
        <v>89</v>
      </c>
      <c r="F70" s="220"/>
      <c r="G70" s="220"/>
      <c r="H70" s="220"/>
      <c r="I70" s="220"/>
      <c r="J70" s="220"/>
      <c r="K70" s="220"/>
      <c r="L70" s="220"/>
      <c r="M70" s="220"/>
      <c r="N70" s="220"/>
      <c r="O70" s="222"/>
      <c r="P70" s="573"/>
      <c r="Q70" s="574"/>
      <c r="R70" s="575"/>
      <c r="U70" s="140"/>
      <c r="V70" s="140"/>
      <c r="W70" s="140"/>
      <c r="X70" s="140"/>
      <c r="Y70" s="140"/>
      <c r="Z70" s="140"/>
      <c r="AA70" s="140"/>
      <c r="AB70" s="140"/>
      <c r="AC70" s="140"/>
    </row>
    <row r="71" spans="3:29" x14ac:dyDescent="0.25">
      <c r="C71" s="219"/>
      <c r="D71" s="220"/>
      <c r="E71" s="220" t="s">
        <v>90</v>
      </c>
      <c r="F71" s="220"/>
      <c r="G71" s="220"/>
      <c r="H71" s="220"/>
      <c r="I71" s="220"/>
      <c r="J71" s="220"/>
      <c r="K71" s="220"/>
      <c r="L71" s="220"/>
      <c r="M71" s="220"/>
      <c r="N71" s="220"/>
      <c r="O71" s="222"/>
      <c r="P71" s="573"/>
      <c r="Q71" s="574"/>
      <c r="R71" s="575"/>
      <c r="U71" s="140"/>
      <c r="V71" s="140"/>
      <c r="W71" s="140"/>
      <c r="X71" s="140"/>
      <c r="Y71" s="140"/>
      <c r="Z71" s="140"/>
      <c r="AA71" s="140"/>
      <c r="AB71" s="140"/>
      <c r="AC71" s="140"/>
    </row>
    <row r="72" spans="3:29" x14ac:dyDescent="0.25">
      <c r="C72" s="219"/>
      <c r="D72" s="220"/>
      <c r="E72" s="220" t="s">
        <v>91</v>
      </c>
      <c r="F72" s="220"/>
      <c r="G72" s="220"/>
      <c r="H72" s="220"/>
      <c r="I72" s="220"/>
      <c r="J72" s="220"/>
      <c r="K72" s="220"/>
      <c r="L72" s="220"/>
      <c r="M72" s="220"/>
      <c r="N72" s="220"/>
      <c r="O72" s="222"/>
      <c r="P72" s="573"/>
      <c r="Q72" s="574"/>
      <c r="R72" s="575"/>
      <c r="U72" s="140"/>
      <c r="V72" s="140"/>
      <c r="W72" s="140"/>
      <c r="X72" s="140"/>
      <c r="Y72" s="140"/>
      <c r="Z72" s="140"/>
      <c r="AA72" s="140"/>
      <c r="AB72" s="140"/>
      <c r="AC72" s="140"/>
    </row>
    <row r="73" spans="3:29" x14ac:dyDescent="0.25">
      <c r="C73" s="219"/>
      <c r="D73" s="220" t="s">
        <v>142</v>
      </c>
      <c r="E73" s="220"/>
      <c r="F73" s="220"/>
      <c r="G73" s="220"/>
      <c r="H73" s="220"/>
      <c r="I73" s="220"/>
      <c r="J73" s="220"/>
      <c r="K73" s="220"/>
      <c r="L73" s="220"/>
      <c r="M73" s="221">
        <v>300000</v>
      </c>
      <c r="N73" s="220"/>
      <c r="O73" s="222"/>
      <c r="P73" s="573"/>
      <c r="Q73" s="574"/>
      <c r="R73" s="575"/>
      <c r="U73" s="140"/>
      <c r="V73" s="140"/>
      <c r="W73" s="140"/>
      <c r="X73" s="140"/>
      <c r="Y73" s="140"/>
      <c r="Z73" s="140"/>
      <c r="AA73" s="140"/>
      <c r="AB73" s="140"/>
      <c r="AC73" s="140"/>
    </row>
    <row r="74" spans="3:29" ht="15.75" thickBot="1" x14ac:dyDescent="0.3">
      <c r="C74" s="223"/>
      <c r="D74" s="224"/>
      <c r="E74" s="224"/>
      <c r="F74" s="224"/>
      <c r="G74" s="224"/>
      <c r="H74" s="224"/>
      <c r="I74" s="224"/>
      <c r="J74" s="224"/>
      <c r="K74" s="224"/>
      <c r="L74" s="225" t="s">
        <v>30</v>
      </c>
      <c r="M74" s="226">
        <f>SUM(M60:M73)</f>
        <v>1105000</v>
      </c>
      <c r="N74" s="224"/>
      <c r="O74" s="227"/>
      <c r="P74" s="576"/>
      <c r="Q74" s="577"/>
      <c r="R74" s="578"/>
      <c r="U74" s="140"/>
      <c r="V74" s="140"/>
      <c r="W74" s="140"/>
      <c r="X74" s="140"/>
      <c r="Y74" s="140"/>
      <c r="Z74" s="140"/>
      <c r="AA74" s="140"/>
      <c r="AB74" s="140"/>
      <c r="AC74" s="140"/>
    </row>
    <row r="75" spans="3:29" ht="15" customHeight="1" x14ac:dyDescent="0.25">
      <c r="C75" s="251" t="s">
        <v>1233</v>
      </c>
      <c r="D75" s="252"/>
      <c r="E75" s="234"/>
      <c r="F75" s="234"/>
      <c r="G75" s="234"/>
      <c r="H75" s="234"/>
      <c r="I75" s="234"/>
      <c r="J75" s="234"/>
      <c r="K75" s="234"/>
      <c r="L75" s="234"/>
      <c r="M75" s="237"/>
      <c r="N75" s="234"/>
      <c r="O75" s="236"/>
      <c r="P75" s="553" t="s">
        <v>773</v>
      </c>
      <c r="Q75" s="554"/>
      <c r="R75" s="555"/>
      <c r="U75" s="140"/>
      <c r="V75" s="140"/>
      <c r="W75" s="140"/>
      <c r="X75" s="140"/>
      <c r="Y75" s="140"/>
      <c r="Z75" s="140"/>
      <c r="AA75" s="140"/>
      <c r="AB75" s="140"/>
      <c r="AC75" s="140"/>
    </row>
    <row r="76" spans="3:29" s="140" customFormat="1" x14ac:dyDescent="0.25">
      <c r="C76" s="251"/>
      <c r="D76" s="234" t="s">
        <v>1234</v>
      </c>
      <c r="E76" s="234"/>
      <c r="F76" s="234"/>
      <c r="G76" s="234"/>
      <c r="H76" s="234"/>
      <c r="I76" s="234"/>
      <c r="J76" s="234"/>
      <c r="K76" s="234"/>
      <c r="L76" s="234"/>
      <c r="M76" s="237">
        <v>1000000</v>
      </c>
      <c r="N76" s="234"/>
      <c r="O76" s="236"/>
      <c r="P76" s="556"/>
      <c r="Q76" s="557"/>
      <c r="R76" s="558"/>
    </row>
    <row r="77" spans="3:29" s="140" customFormat="1" x14ac:dyDescent="0.25">
      <c r="C77" s="251" t="s">
        <v>800</v>
      </c>
      <c r="D77" s="252"/>
      <c r="E77" s="234"/>
      <c r="F77" s="234"/>
      <c r="G77" s="234"/>
      <c r="H77" s="234"/>
      <c r="I77" s="234"/>
      <c r="J77" s="234"/>
      <c r="K77" s="234"/>
      <c r="L77" s="234"/>
      <c r="M77" s="237">
        <v>250000</v>
      </c>
      <c r="N77" s="234"/>
      <c r="O77" s="236"/>
      <c r="P77" s="556"/>
      <c r="Q77" s="557"/>
      <c r="R77" s="558"/>
    </row>
    <row r="78" spans="3:29" s="140" customFormat="1" ht="38.25" customHeight="1" thickBot="1" x14ac:dyDescent="0.3">
      <c r="C78" s="256"/>
      <c r="D78" s="257"/>
      <c r="E78" s="244"/>
      <c r="F78" s="244"/>
      <c r="G78" s="244"/>
      <c r="H78" s="244"/>
      <c r="I78" s="244"/>
      <c r="J78" s="244"/>
      <c r="K78" s="244"/>
      <c r="L78" s="245" t="s">
        <v>30</v>
      </c>
      <c r="M78" s="246">
        <f>SUM(M76:M77)</f>
        <v>1250000</v>
      </c>
      <c r="N78" s="244"/>
      <c r="O78" s="258"/>
      <c r="P78" s="559"/>
      <c r="Q78" s="560"/>
      <c r="R78" s="561"/>
    </row>
    <row r="79" spans="3:29" s="140" customFormat="1" ht="15.75" thickBot="1" x14ac:dyDescent="0.3">
      <c r="C79" s="259"/>
      <c r="D79" s="212"/>
      <c r="E79" s="212"/>
      <c r="F79" s="212"/>
      <c r="G79" s="212"/>
      <c r="H79" s="212"/>
      <c r="I79" s="212"/>
      <c r="J79" s="212"/>
      <c r="K79" s="212"/>
      <c r="L79" s="260" t="s">
        <v>52</v>
      </c>
      <c r="M79" s="261">
        <f>M24+M38+M50+M74+M78</f>
        <v>5297655.8</v>
      </c>
      <c r="N79" s="212"/>
      <c r="O79" s="262"/>
      <c r="P79" s="212"/>
      <c r="Q79" s="212"/>
      <c r="R79" s="262"/>
    </row>
    <row r="80" spans="3:29" s="140" customFormat="1" x14ac:dyDescent="0.25"/>
    <row r="81" s="140" customFormat="1" x14ac:dyDescent="0.25"/>
    <row r="82" s="140" customFormat="1" x14ac:dyDescent="0.25"/>
    <row r="83" s="140" customFormat="1" x14ac:dyDescent="0.25"/>
    <row r="84" s="140" customFormat="1" x14ac:dyDescent="0.25"/>
    <row r="85" s="140" customFormat="1" x14ac:dyDescent="0.25"/>
    <row r="86" s="140" customFormat="1" x14ac:dyDescent="0.25"/>
    <row r="87" s="140" customFormat="1" x14ac:dyDescent="0.25"/>
    <row r="88" s="140" customFormat="1" x14ac:dyDescent="0.25"/>
    <row r="89" s="140" customFormat="1" x14ac:dyDescent="0.25"/>
    <row r="90" s="140" customFormat="1" x14ac:dyDescent="0.25"/>
    <row r="91" s="140" customFormat="1" x14ac:dyDescent="0.25"/>
    <row r="92" s="140" customFormat="1" ht="15" customHeight="1" x14ac:dyDescent="0.25"/>
    <row r="93" s="140" customFormat="1" x14ac:dyDescent="0.25"/>
    <row r="94" s="140" customFormat="1" x14ac:dyDescent="0.25"/>
    <row r="95" s="140" customFormat="1" x14ac:dyDescent="0.25"/>
    <row r="96" s="140" customFormat="1" x14ac:dyDescent="0.25"/>
    <row r="97" s="140" customFormat="1" x14ac:dyDescent="0.25"/>
    <row r="98" s="140" customFormat="1" x14ac:dyDescent="0.25"/>
    <row r="99" s="140" customFormat="1" x14ac:dyDescent="0.25"/>
    <row r="100" s="140" customFormat="1" x14ac:dyDescent="0.25"/>
    <row r="101" s="140" customFormat="1" x14ac:dyDescent="0.25"/>
    <row r="102" s="140" customFormat="1" x14ac:dyDescent="0.25"/>
    <row r="103" s="140" customFormat="1" x14ac:dyDescent="0.25"/>
    <row r="104" s="140" customFormat="1" x14ac:dyDescent="0.25"/>
    <row r="105" s="140" customFormat="1" x14ac:dyDescent="0.25"/>
    <row r="106" s="140" customFormat="1" x14ac:dyDescent="0.25"/>
    <row r="107" s="140" customFormat="1" x14ac:dyDescent="0.25"/>
    <row r="108" s="140" customFormat="1" x14ac:dyDescent="0.25"/>
    <row r="109" s="140" customFormat="1" x14ac:dyDescent="0.25"/>
    <row r="110" s="140" customFormat="1" x14ac:dyDescent="0.25"/>
    <row r="111" s="140" customFormat="1" x14ac:dyDescent="0.25"/>
    <row r="112" s="140" customFormat="1" x14ac:dyDescent="0.25"/>
    <row r="113" s="140" customFormat="1" x14ac:dyDescent="0.25"/>
    <row r="114" s="140" customFormat="1" x14ac:dyDescent="0.25"/>
    <row r="115" s="140" customFormat="1" x14ac:dyDescent="0.25"/>
    <row r="116" s="140" customFormat="1" x14ac:dyDescent="0.25"/>
    <row r="117" s="140" customFormat="1" x14ac:dyDescent="0.25"/>
    <row r="118" s="140" customFormat="1" x14ac:dyDescent="0.25"/>
    <row r="119" s="140" customFormat="1" x14ac:dyDescent="0.25"/>
    <row r="120" s="140" customFormat="1" x14ac:dyDescent="0.25"/>
    <row r="121" s="140" customFormat="1" x14ac:dyDescent="0.25"/>
    <row r="122" s="140" customFormat="1" x14ac:dyDescent="0.25"/>
    <row r="123" s="140" customFormat="1" x14ac:dyDescent="0.25"/>
    <row r="124" s="140" customFormat="1" x14ac:dyDescent="0.25"/>
    <row r="125" s="140" customFormat="1" x14ac:dyDescent="0.25"/>
    <row r="126" s="140" customFormat="1" x14ac:dyDescent="0.25"/>
    <row r="127" s="140" customFormat="1" x14ac:dyDescent="0.25"/>
    <row r="128" s="140" customFormat="1" x14ac:dyDescent="0.25"/>
    <row r="129" s="140" customFormat="1" x14ac:dyDescent="0.25"/>
    <row r="130" s="140" customFormat="1" x14ac:dyDescent="0.25"/>
    <row r="131" s="140" customFormat="1" x14ac:dyDescent="0.25"/>
    <row r="132" s="140" customFormat="1" x14ac:dyDescent="0.25"/>
    <row r="133" s="140" customFormat="1" x14ac:dyDescent="0.25"/>
    <row r="134" s="140" customFormat="1" x14ac:dyDescent="0.25"/>
    <row r="135" s="140" customFormat="1" x14ac:dyDescent="0.25"/>
    <row r="136" s="140" customFormat="1" x14ac:dyDescent="0.25"/>
    <row r="137" s="140" customFormat="1" x14ac:dyDescent="0.25"/>
    <row r="138" s="140" customFormat="1" x14ac:dyDescent="0.25"/>
    <row r="139" s="140" customFormat="1" x14ac:dyDescent="0.25"/>
    <row r="140" s="140" customFormat="1" x14ac:dyDescent="0.25"/>
    <row r="141" s="140" customFormat="1" x14ac:dyDescent="0.25"/>
    <row r="142" s="140" customFormat="1" x14ac:dyDescent="0.25"/>
    <row r="143" s="140" customFormat="1" x14ac:dyDescent="0.25"/>
    <row r="144" s="140" customFormat="1" x14ac:dyDescent="0.25"/>
    <row r="145" spans="3:29" s="140" customFormat="1" x14ac:dyDescent="0.25"/>
    <row r="146" spans="3:29" s="140" customFormat="1" x14ac:dyDescent="0.25"/>
    <row r="147" spans="3:29" s="140" customFormat="1" x14ac:dyDescent="0.25"/>
    <row r="148" spans="3:29" s="140" customFormat="1" x14ac:dyDescent="0.25"/>
    <row r="149" spans="3:29" s="140" customFormat="1" x14ac:dyDescent="0.25"/>
    <row r="150" spans="3:29" s="140" customFormat="1" x14ac:dyDescent="0.25"/>
    <row r="151" spans="3:29" s="140" customFormat="1" x14ac:dyDescent="0.25"/>
    <row r="152" spans="3:29" s="140" customFormat="1" x14ac:dyDescent="0.25"/>
    <row r="153" spans="3:29" x14ac:dyDescent="0.25">
      <c r="C153" s="140"/>
      <c r="D153" s="140"/>
      <c r="E153" s="140"/>
      <c r="F153" s="140"/>
      <c r="G153" s="140"/>
      <c r="H153" s="140"/>
      <c r="I153" s="140"/>
      <c r="J153" s="140"/>
      <c r="K153" s="140"/>
      <c r="L153" s="140"/>
      <c r="M153" s="140"/>
      <c r="N153" s="140"/>
      <c r="O153" s="140"/>
      <c r="P153" s="140"/>
      <c r="Q153" s="140"/>
      <c r="R153" s="140"/>
      <c r="U153" s="140"/>
      <c r="V153" s="140"/>
      <c r="W153" s="140"/>
      <c r="X153" s="140"/>
      <c r="Y153" s="140"/>
      <c r="Z153" s="140"/>
      <c r="AA153" s="140"/>
      <c r="AB153" s="140"/>
      <c r="AC153" s="140"/>
    </row>
    <row r="154" spans="3:29" x14ac:dyDescent="0.25">
      <c r="C154" s="140"/>
      <c r="D154" s="140"/>
      <c r="E154" s="140"/>
      <c r="F154" s="140"/>
      <c r="G154" s="140"/>
      <c r="H154" s="140"/>
      <c r="I154" s="140"/>
      <c r="J154" s="140"/>
      <c r="K154" s="140"/>
      <c r="L154" s="140"/>
      <c r="M154" s="140"/>
      <c r="N154" s="140"/>
      <c r="O154" s="140"/>
      <c r="P154" s="140"/>
      <c r="Q154" s="140"/>
      <c r="R154" s="140"/>
      <c r="U154" s="140"/>
      <c r="V154" s="140"/>
      <c r="W154" s="140"/>
      <c r="X154" s="140"/>
      <c r="Y154" s="140"/>
      <c r="Z154" s="140"/>
      <c r="AA154" s="140"/>
      <c r="AB154" s="140"/>
      <c r="AC154" s="140"/>
    </row>
    <row r="155" spans="3:29" x14ac:dyDescent="0.25">
      <c r="C155" s="140"/>
      <c r="D155" s="140"/>
      <c r="E155" s="140"/>
      <c r="F155" s="140"/>
      <c r="G155" s="140"/>
      <c r="H155" s="140"/>
      <c r="I155" s="140"/>
      <c r="J155" s="140"/>
      <c r="K155" s="140"/>
      <c r="L155" s="140"/>
      <c r="M155" s="140"/>
      <c r="N155" s="140"/>
      <c r="O155" s="140"/>
      <c r="P155" s="140"/>
      <c r="Q155" s="140"/>
      <c r="R155" s="140"/>
      <c r="U155" s="140"/>
      <c r="V155" s="140"/>
      <c r="W155" s="140"/>
      <c r="X155" s="140"/>
      <c r="Y155" s="140"/>
      <c r="Z155" s="140"/>
      <c r="AA155" s="140"/>
      <c r="AB155" s="140"/>
      <c r="AC155" s="140"/>
    </row>
    <row r="156" spans="3:29" x14ac:dyDescent="0.25">
      <c r="C156" s="140"/>
      <c r="D156" s="140"/>
      <c r="E156" s="140"/>
      <c r="F156" s="140"/>
      <c r="G156" s="140"/>
      <c r="H156" s="140"/>
      <c r="I156" s="140"/>
      <c r="J156" s="140"/>
      <c r="K156" s="140"/>
      <c r="L156" s="140"/>
      <c r="M156" s="140"/>
      <c r="N156" s="140"/>
      <c r="O156" s="140"/>
      <c r="P156" s="140"/>
      <c r="Q156" s="140"/>
      <c r="R156" s="140"/>
      <c r="U156" s="140"/>
      <c r="V156" s="140"/>
      <c r="W156" s="140"/>
      <c r="X156" s="140"/>
      <c r="Y156" s="140"/>
      <c r="Z156" s="140"/>
      <c r="AA156" s="140"/>
      <c r="AB156" s="140"/>
      <c r="AC156" s="140"/>
    </row>
    <row r="157" spans="3:29" x14ac:dyDescent="0.25">
      <c r="U157" s="140"/>
      <c r="V157" s="140"/>
      <c r="W157" s="140"/>
      <c r="X157" s="140"/>
      <c r="Y157" s="140"/>
      <c r="Z157" s="140"/>
      <c r="AA157" s="140"/>
      <c r="AB157" s="140"/>
      <c r="AC157" s="140"/>
    </row>
    <row r="158" spans="3:29" x14ac:dyDescent="0.25">
      <c r="U158" s="140"/>
      <c r="V158" s="140"/>
      <c r="W158" s="140"/>
      <c r="X158" s="140"/>
      <c r="Y158" s="140"/>
      <c r="Z158" s="140"/>
      <c r="AA158" s="140"/>
      <c r="AB158" s="140"/>
      <c r="AC158" s="140"/>
    </row>
    <row r="159" spans="3:29" x14ac:dyDescent="0.25">
      <c r="U159" s="140"/>
      <c r="V159" s="140"/>
      <c r="W159" s="140"/>
      <c r="X159" s="140"/>
      <c r="Y159" s="140"/>
      <c r="Z159" s="140"/>
      <c r="AA159" s="140"/>
      <c r="AB159" s="140"/>
      <c r="AC159" s="140"/>
    </row>
    <row r="160" spans="3:29" x14ac:dyDescent="0.25">
      <c r="U160" s="140"/>
      <c r="V160" s="140"/>
      <c r="W160" s="140"/>
      <c r="X160" s="140"/>
      <c r="Y160" s="140"/>
      <c r="Z160" s="140"/>
      <c r="AA160" s="140"/>
      <c r="AB160" s="140"/>
      <c r="AC160" s="140"/>
    </row>
    <row r="161" spans="21:29" x14ac:dyDescent="0.25">
      <c r="U161" s="140"/>
      <c r="V161" s="140"/>
      <c r="W161" s="140"/>
      <c r="X161" s="140"/>
      <c r="Y161" s="140"/>
      <c r="Z161" s="140"/>
      <c r="AA161" s="140"/>
      <c r="AB161" s="140"/>
      <c r="AC161" s="140"/>
    </row>
    <row r="162" spans="21:29" x14ac:dyDescent="0.25">
      <c r="U162" s="140"/>
      <c r="V162" s="140"/>
      <c r="W162" s="140"/>
      <c r="X162" s="140"/>
      <c r="Y162" s="140"/>
      <c r="Z162" s="140"/>
      <c r="AA162" s="140"/>
      <c r="AB162" s="140"/>
      <c r="AC162" s="140"/>
    </row>
    <row r="163" spans="21:29" x14ac:dyDescent="0.25">
      <c r="U163" s="140"/>
      <c r="V163" s="140"/>
      <c r="W163" s="140"/>
      <c r="X163" s="140"/>
      <c r="Y163" s="140"/>
      <c r="Z163" s="140"/>
      <c r="AA163" s="140"/>
      <c r="AB163" s="140"/>
      <c r="AC163" s="140"/>
    </row>
    <row r="164" spans="21:29" x14ac:dyDescent="0.25">
      <c r="U164" s="140"/>
      <c r="V164" s="140"/>
      <c r="W164" s="140"/>
      <c r="X164" s="140"/>
      <c r="Y164" s="140"/>
      <c r="Z164" s="140"/>
      <c r="AA164" s="140"/>
      <c r="AB164" s="140"/>
      <c r="AC164" s="140"/>
    </row>
    <row r="165" spans="21:29" x14ac:dyDescent="0.25">
      <c r="U165" s="140"/>
      <c r="V165" s="140"/>
      <c r="W165" s="140"/>
      <c r="X165" s="140"/>
      <c r="Y165" s="140"/>
      <c r="Z165" s="140"/>
      <c r="AA165" s="140"/>
      <c r="AB165" s="140"/>
      <c r="AC165" s="140"/>
    </row>
    <row r="166" spans="21:29" x14ac:dyDescent="0.25">
      <c r="U166" s="140"/>
      <c r="V166" s="140"/>
      <c r="W166" s="140"/>
      <c r="X166" s="140"/>
      <c r="Y166" s="140"/>
      <c r="Z166" s="140"/>
      <c r="AA166" s="140"/>
      <c r="AB166" s="140"/>
      <c r="AC166" s="140"/>
    </row>
    <row r="167" spans="21:29" x14ac:dyDescent="0.25">
      <c r="U167" s="140"/>
      <c r="V167" s="140"/>
      <c r="W167" s="140"/>
      <c r="X167" s="140"/>
      <c r="Y167" s="140"/>
      <c r="Z167" s="140"/>
      <c r="AA167" s="140"/>
      <c r="AB167" s="140"/>
      <c r="AC167" s="140"/>
    </row>
    <row r="168" spans="21:29" x14ac:dyDescent="0.25">
      <c r="U168" s="140"/>
      <c r="V168" s="140"/>
      <c r="W168" s="140"/>
      <c r="X168" s="140"/>
      <c r="Y168" s="140"/>
      <c r="Z168" s="140"/>
      <c r="AA168" s="140"/>
      <c r="AB168" s="140"/>
      <c r="AC168" s="140"/>
    </row>
    <row r="169" spans="21:29" x14ac:dyDescent="0.25">
      <c r="U169" s="140"/>
      <c r="V169" s="140"/>
      <c r="W169" s="140"/>
      <c r="X169" s="140"/>
      <c r="Y169" s="140"/>
      <c r="Z169" s="140"/>
      <c r="AA169" s="140"/>
      <c r="AB169" s="140"/>
      <c r="AC169" s="140"/>
    </row>
  </sheetData>
  <sheetProtection algorithmName="SHA-512" hashValue="xR9wWkfk9hbF7JCJDcfI4hKiAIfaIa/HuYLpIWPK8E+yye0x0aUjiRpEIJS6MC7KbE1saCaojclAzmpFcKw1Pg==" saltValue="6yEylsx6yzEASNv7WezF0w==" spinCount="100000" sheet="1" objects="1" scenarios="1" selectLockedCells="1"/>
  <mergeCells count="9">
    <mergeCell ref="P75:R78"/>
    <mergeCell ref="N10:N11"/>
    <mergeCell ref="O10:O11"/>
    <mergeCell ref="P10:R11"/>
    <mergeCell ref="P59:R74"/>
    <mergeCell ref="P51:R54"/>
    <mergeCell ref="P55:R58"/>
    <mergeCell ref="P12:R24"/>
    <mergeCell ref="P25:R50"/>
  </mergeCells>
  <pageMargins left="0.25" right="0.25" top="0.25" bottom="0.25" header="0" footer="0"/>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E4DB3-3401-4819-A87A-6DBA55741FFF}">
  <sheetPr>
    <pageSetUpPr fitToPage="1"/>
  </sheetPr>
  <dimension ref="A1:AV285"/>
  <sheetViews>
    <sheetView workbookViewId="0">
      <selection activeCell="Y131" sqref="Y131"/>
    </sheetView>
  </sheetViews>
  <sheetFormatPr defaultColWidth="8.7109375" defaultRowHeight="15" x14ac:dyDescent="0.25"/>
  <cols>
    <col min="1" max="2" width="8.7109375" style="140"/>
    <col min="3" max="11" width="8.7109375" style="207"/>
    <col min="12" max="12" width="16.5703125" style="207" bestFit="1" customWidth="1"/>
    <col min="13" max="13" width="23.28515625" style="207" bestFit="1" customWidth="1"/>
    <col min="14" max="14" width="14.5703125" style="207" bestFit="1" customWidth="1"/>
    <col min="15" max="15" width="12.42578125" style="207" customWidth="1"/>
    <col min="16" max="16" width="14.85546875" style="207" customWidth="1"/>
    <col min="17" max="17" width="12.85546875" style="207" customWidth="1"/>
    <col min="18" max="19" width="8.7109375" style="140"/>
    <col min="20" max="24" width="8.7109375" style="207"/>
    <col min="25" max="25" width="11.7109375" style="207" bestFit="1" customWidth="1"/>
    <col min="26" max="28" width="8.7109375" style="207"/>
    <col min="29" max="48" width="8.7109375" style="140"/>
    <col min="49" max="16384" width="8.7109375" style="207"/>
  </cols>
  <sheetData>
    <row r="1" spans="3:28" s="140" customFormat="1" x14ac:dyDescent="0.25"/>
    <row r="2" spans="3:28" x14ac:dyDescent="0.25">
      <c r="C2" s="167" t="s">
        <v>36</v>
      </c>
      <c r="D2" s="140"/>
      <c r="E2" s="140"/>
      <c r="F2" s="140"/>
      <c r="G2" s="140"/>
      <c r="H2" s="140"/>
      <c r="I2" s="140"/>
      <c r="J2" s="140"/>
      <c r="K2" s="140"/>
      <c r="L2" s="140"/>
      <c r="M2" s="140"/>
      <c r="N2" s="140"/>
      <c r="O2" s="140"/>
      <c r="P2" s="140"/>
      <c r="Q2" s="140"/>
      <c r="T2" s="140"/>
      <c r="U2" s="140"/>
      <c r="V2" s="140"/>
      <c r="W2" s="140"/>
      <c r="X2" s="140"/>
      <c r="Y2" s="140"/>
      <c r="Z2" s="140"/>
      <c r="AA2" s="140"/>
      <c r="AB2" s="140"/>
    </row>
    <row r="3" spans="3:28" x14ac:dyDescent="0.25">
      <c r="C3" s="140"/>
      <c r="D3" s="140"/>
      <c r="E3" s="140"/>
      <c r="F3" s="140"/>
      <c r="G3" s="140"/>
      <c r="H3" s="140"/>
      <c r="I3" s="140"/>
      <c r="J3" s="140"/>
      <c r="K3" s="140"/>
      <c r="L3" s="140"/>
      <c r="M3" s="140"/>
      <c r="N3" s="140"/>
      <c r="O3" s="140"/>
      <c r="P3" s="140"/>
      <c r="Q3" s="140"/>
      <c r="T3" s="140"/>
      <c r="U3" s="140"/>
      <c r="V3" s="140"/>
      <c r="W3" s="140"/>
      <c r="X3" s="140"/>
      <c r="Y3" s="140"/>
      <c r="Z3" s="140"/>
      <c r="AA3" s="140"/>
      <c r="AB3" s="140"/>
    </row>
    <row r="4" spans="3:28" x14ac:dyDescent="0.25">
      <c r="C4" s="140"/>
      <c r="D4" s="140"/>
      <c r="E4" s="140"/>
      <c r="F4" s="140"/>
      <c r="G4" s="140"/>
      <c r="H4" s="140"/>
      <c r="I4" s="140"/>
      <c r="J4" s="140"/>
      <c r="K4" s="140"/>
      <c r="L4" s="140"/>
      <c r="M4" s="140"/>
      <c r="N4" s="140"/>
      <c r="O4" s="140"/>
      <c r="P4" s="140"/>
      <c r="Q4" s="140"/>
      <c r="T4" s="140"/>
      <c r="U4" s="140"/>
      <c r="V4" s="140"/>
      <c r="W4" s="140"/>
      <c r="X4" s="140"/>
      <c r="Y4" s="140"/>
      <c r="Z4" s="140"/>
      <c r="AA4" s="140"/>
      <c r="AB4" s="140"/>
    </row>
    <row r="5" spans="3:28" x14ac:dyDescent="0.25">
      <c r="C5" s="140"/>
      <c r="D5" s="140"/>
      <c r="E5" s="140"/>
      <c r="F5" s="140"/>
      <c r="G5" s="140"/>
      <c r="H5" s="140"/>
      <c r="I5" s="140"/>
      <c r="J5" s="140"/>
      <c r="K5" s="140"/>
      <c r="L5" s="140"/>
      <c r="M5" s="140"/>
      <c r="N5" s="140"/>
      <c r="O5" s="140"/>
      <c r="P5" s="140"/>
      <c r="Q5" s="140"/>
      <c r="T5" s="140"/>
      <c r="U5" s="140"/>
      <c r="V5" s="140"/>
      <c r="W5" s="140"/>
      <c r="X5" s="140"/>
      <c r="Y5" s="140"/>
      <c r="Z5" s="140"/>
      <c r="AA5" s="140"/>
      <c r="AB5" s="140"/>
    </row>
    <row r="6" spans="3:28" x14ac:dyDescent="0.25">
      <c r="C6" s="140"/>
      <c r="D6" s="140"/>
      <c r="E6" s="140"/>
      <c r="F6" s="140"/>
      <c r="G6" s="140"/>
      <c r="H6" s="140"/>
      <c r="I6" s="140"/>
      <c r="J6" s="140"/>
      <c r="K6" s="140"/>
      <c r="L6" s="140"/>
      <c r="M6" s="140"/>
      <c r="N6" s="140"/>
      <c r="O6" s="140"/>
      <c r="P6" s="140"/>
      <c r="Q6" s="140"/>
      <c r="T6" s="140"/>
      <c r="U6" s="140"/>
      <c r="V6" s="140"/>
      <c r="W6" s="140"/>
      <c r="X6" s="140"/>
      <c r="Y6" s="140"/>
      <c r="Z6" s="140"/>
      <c r="AA6" s="140"/>
      <c r="AB6" s="140"/>
    </row>
    <row r="7" spans="3:28" x14ac:dyDescent="0.25">
      <c r="C7" s="140"/>
      <c r="D7" s="140"/>
      <c r="E7" s="140"/>
      <c r="F7" s="140"/>
      <c r="G7" s="140"/>
      <c r="H7" s="140"/>
      <c r="I7" s="140"/>
      <c r="J7" s="140"/>
      <c r="K7" s="140"/>
      <c r="L7" s="140"/>
      <c r="M7" s="140"/>
      <c r="N7" s="140"/>
      <c r="O7" s="140"/>
      <c r="P7" s="140"/>
      <c r="Q7" s="140"/>
      <c r="T7" s="140"/>
      <c r="U7" s="140"/>
      <c r="V7" s="140"/>
      <c r="W7" s="140"/>
      <c r="X7" s="140"/>
      <c r="Y7" s="140"/>
      <c r="Z7" s="140"/>
      <c r="AA7" s="140"/>
      <c r="AB7" s="140"/>
    </row>
    <row r="8" spans="3:28" x14ac:dyDescent="0.25">
      <c r="C8" s="140"/>
      <c r="D8" s="140"/>
      <c r="E8" s="140"/>
      <c r="F8" s="140"/>
      <c r="G8" s="140"/>
      <c r="H8" s="140"/>
      <c r="I8" s="140"/>
      <c r="J8" s="140"/>
      <c r="K8" s="140"/>
      <c r="L8" s="140"/>
      <c r="M8" s="140"/>
      <c r="N8" s="140"/>
      <c r="O8" s="140"/>
      <c r="P8" s="140"/>
      <c r="Q8" s="140"/>
      <c r="T8" s="140"/>
      <c r="U8" s="140"/>
      <c r="V8" s="140"/>
      <c r="W8" s="140"/>
      <c r="X8" s="140"/>
      <c r="Y8" s="140"/>
      <c r="Z8" s="140"/>
      <c r="AA8" s="140"/>
      <c r="AB8" s="140"/>
    </row>
    <row r="9" spans="3:28" ht="15.75" thickBot="1" x14ac:dyDescent="0.3">
      <c r="C9" s="140"/>
      <c r="D9" s="140"/>
      <c r="E9" s="140"/>
      <c r="F9" s="140"/>
      <c r="G9" s="140"/>
      <c r="H9" s="140"/>
      <c r="I9" s="140"/>
      <c r="J9" s="140"/>
      <c r="K9" s="140"/>
      <c r="L9" s="140"/>
      <c r="M9" s="140"/>
      <c r="N9" s="140"/>
      <c r="O9" s="140"/>
      <c r="P9" s="140"/>
      <c r="Q9" s="140"/>
      <c r="T9" s="140"/>
      <c r="U9" s="140"/>
      <c r="V9" s="140"/>
      <c r="W9" s="140"/>
      <c r="X9" s="140"/>
      <c r="Y9" s="140"/>
      <c r="Z9" s="140"/>
      <c r="AA9" s="140"/>
      <c r="AB9" s="140"/>
    </row>
    <row r="10" spans="3:28" ht="16.5" customHeight="1" x14ac:dyDescent="0.25">
      <c r="C10" s="208" t="s">
        <v>24</v>
      </c>
      <c r="D10" s="209"/>
      <c r="E10" s="209"/>
      <c r="F10" s="209"/>
      <c r="G10" s="209"/>
      <c r="H10" s="209"/>
      <c r="I10" s="209"/>
      <c r="J10" s="209"/>
      <c r="K10" s="209"/>
      <c r="L10" s="210" t="s">
        <v>26</v>
      </c>
      <c r="M10" s="210" t="s">
        <v>27</v>
      </c>
      <c r="N10" s="562" t="s">
        <v>129</v>
      </c>
      <c r="O10" s="564" t="s">
        <v>126</v>
      </c>
      <c r="P10" s="579" t="s">
        <v>60</v>
      </c>
      <c r="Q10" s="580"/>
      <c r="T10" s="140"/>
      <c r="U10" s="140"/>
      <c r="V10" s="140"/>
      <c r="W10" s="140"/>
      <c r="X10" s="140"/>
      <c r="Y10" s="140"/>
      <c r="Z10" s="140"/>
      <c r="AA10" s="140"/>
      <c r="AB10" s="140"/>
    </row>
    <row r="11" spans="3:28" ht="15.75" thickBot="1" x14ac:dyDescent="0.3">
      <c r="C11" s="211"/>
      <c r="D11" s="212"/>
      <c r="E11" s="212"/>
      <c r="F11" s="212"/>
      <c r="G11" s="212"/>
      <c r="H11" s="212"/>
      <c r="I11" s="212"/>
      <c r="J11" s="212"/>
      <c r="K11" s="212"/>
      <c r="L11" s="213"/>
      <c r="M11" s="213" t="s">
        <v>28</v>
      </c>
      <c r="N11" s="563"/>
      <c r="O11" s="565"/>
      <c r="P11" s="581"/>
      <c r="Q11" s="582"/>
      <c r="T11" s="140"/>
      <c r="U11" s="140"/>
      <c r="V11" s="140"/>
      <c r="W11" s="140"/>
      <c r="X11" s="140"/>
      <c r="Y11" s="140"/>
      <c r="Z11" s="140"/>
      <c r="AA11" s="140"/>
      <c r="AB11" s="140"/>
    </row>
    <row r="12" spans="3:28" ht="16.5" customHeight="1" x14ac:dyDescent="0.25">
      <c r="C12" s="214" t="s">
        <v>25</v>
      </c>
      <c r="D12" s="215"/>
      <c r="E12" s="216"/>
      <c r="F12" s="216"/>
      <c r="G12" s="216"/>
      <c r="H12" s="216"/>
      <c r="I12" s="216"/>
      <c r="J12" s="216"/>
      <c r="K12" s="216"/>
      <c r="L12" s="216"/>
      <c r="M12" s="217"/>
      <c r="N12" s="216"/>
      <c r="O12" s="218"/>
      <c r="P12" s="570" t="s">
        <v>756</v>
      </c>
      <c r="Q12" s="572"/>
      <c r="T12" s="140"/>
      <c r="U12" s="140"/>
      <c r="V12" s="140"/>
      <c r="W12" s="140"/>
      <c r="X12" s="140"/>
      <c r="Y12" s="140"/>
      <c r="Z12" s="140"/>
      <c r="AA12" s="140"/>
      <c r="AB12" s="140"/>
    </row>
    <row r="13" spans="3:28" x14ac:dyDescent="0.25">
      <c r="C13" s="219">
        <v>1</v>
      </c>
      <c r="D13" s="265" t="s">
        <v>1235</v>
      </c>
      <c r="E13" s="265"/>
      <c r="F13" s="220"/>
      <c r="G13" s="220"/>
      <c r="H13" s="220"/>
      <c r="I13" s="220"/>
      <c r="J13" s="220"/>
      <c r="K13" s="220"/>
      <c r="L13" s="221">
        <f>'Job Survey'!F147</f>
        <v>59999.999999999993</v>
      </c>
      <c r="M13" s="221">
        <f>'Job Survey'!G147</f>
        <v>98843.520000000004</v>
      </c>
      <c r="N13" s="220"/>
      <c r="O13" s="222"/>
      <c r="P13" s="573"/>
      <c r="Q13" s="575"/>
      <c r="T13" s="140"/>
      <c r="U13" s="140"/>
      <c r="V13" s="140"/>
      <c r="W13" s="140"/>
      <c r="X13" s="140"/>
      <c r="Y13" s="140"/>
      <c r="Z13" s="140"/>
      <c r="AA13" s="140"/>
      <c r="AB13" s="140"/>
    </row>
    <row r="14" spans="3:28" x14ac:dyDescent="0.25">
      <c r="C14" s="219">
        <f>C13+1</f>
        <v>2</v>
      </c>
      <c r="D14" s="265" t="s">
        <v>762</v>
      </c>
      <c r="E14" s="265"/>
      <c r="F14" s="220"/>
      <c r="G14" s="220"/>
      <c r="H14" s="220"/>
      <c r="I14" s="220"/>
      <c r="J14" s="220"/>
      <c r="K14" s="220"/>
      <c r="L14" s="221">
        <f>'Job Survey'!F51</f>
        <v>94999.999999999985</v>
      </c>
      <c r="M14" s="221">
        <f>'Job Survey'!G51</f>
        <v>145271.01999999996</v>
      </c>
      <c r="N14" s="220"/>
      <c r="O14" s="222"/>
      <c r="P14" s="573"/>
      <c r="Q14" s="575"/>
      <c r="T14" s="140"/>
      <c r="U14" s="140"/>
      <c r="V14" s="140"/>
      <c r="W14" s="140"/>
      <c r="X14" s="140"/>
      <c r="Y14" s="140"/>
      <c r="Z14" s="140"/>
      <c r="AA14" s="140"/>
      <c r="AB14" s="140"/>
    </row>
    <row r="15" spans="3:28" x14ac:dyDescent="0.25">
      <c r="C15" s="219">
        <f t="shared" ref="C15:C17" si="0">C14+1</f>
        <v>3</v>
      </c>
      <c r="D15" s="265" t="s">
        <v>1236</v>
      </c>
      <c r="E15" s="265"/>
      <c r="F15" s="220"/>
      <c r="G15" s="220"/>
      <c r="H15" s="220"/>
      <c r="I15" s="220"/>
      <c r="J15" s="220"/>
      <c r="K15" s="220"/>
      <c r="L15" s="221">
        <f>'Job Survey'!F48</f>
        <v>125000</v>
      </c>
      <c r="M15" s="221">
        <f>'Job Survey'!G48</f>
        <v>185066.01999999996</v>
      </c>
      <c r="N15" s="220"/>
      <c r="O15" s="222"/>
      <c r="P15" s="573"/>
      <c r="Q15" s="575"/>
      <c r="T15" s="140"/>
      <c r="U15" s="140"/>
      <c r="V15" s="140"/>
      <c r="W15" s="140"/>
      <c r="X15" s="140"/>
      <c r="Y15" s="140"/>
      <c r="Z15" s="140"/>
      <c r="AA15" s="140"/>
      <c r="AB15" s="140"/>
    </row>
    <row r="16" spans="3:28" x14ac:dyDescent="0.25">
      <c r="C16" s="219">
        <f t="shared" si="0"/>
        <v>4</v>
      </c>
      <c r="D16" s="265" t="s">
        <v>1237</v>
      </c>
      <c r="E16" s="265"/>
      <c r="F16" s="220"/>
      <c r="G16" s="220"/>
      <c r="H16" s="220"/>
      <c r="I16" s="220"/>
      <c r="J16" s="220"/>
      <c r="K16" s="220"/>
      <c r="L16" s="221">
        <f>'Job Survey'!F82</f>
        <v>90000</v>
      </c>
      <c r="M16" s="221">
        <f>'Job Survey'!G82</f>
        <v>138638.51999999999</v>
      </c>
      <c r="N16" s="220"/>
      <c r="O16" s="222"/>
      <c r="P16" s="573"/>
      <c r="Q16" s="575"/>
      <c r="T16" s="140"/>
      <c r="U16" s="140"/>
      <c r="V16" s="140"/>
      <c r="W16" s="140"/>
      <c r="X16" s="140"/>
      <c r="Y16" s="140"/>
      <c r="Z16" s="140"/>
      <c r="AA16" s="140"/>
      <c r="AB16" s="140"/>
    </row>
    <row r="17" spans="3:28" x14ac:dyDescent="0.25">
      <c r="C17" s="219">
        <f t="shared" si="0"/>
        <v>5</v>
      </c>
      <c r="D17" s="265" t="s">
        <v>1238</v>
      </c>
      <c r="E17" s="265"/>
      <c r="F17" s="220"/>
      <c r="G17" s="220"/>
      <c r="H17" s="220"/>
      <c r="I17" s="220"/>
      <c r="J17" s="220"/>
      <c r="K17" s="220"/>
      <c r="L17" s="221">
        <f>'Job Survey'!F112</f>
        <v>75000</v>
      </c>
      <c r="M17" s="221">
        <f>'Job Survey'!G112</f>
        <v>118741.01999999999</v>
      </c>
      <c r="N17" s="220"/>
      <c r="O17" s="222"/>
      <c r="P17" s="573"/>
      <c r="Q17" s="575"/>
      <c r="T17" s="140"/>
      <c r="U17" s="140"/>
      <c r="V17" s="140"/>
      <c r="W17" s="140"/>
      <c r="X17" s="140"/>
      <c r="Y17" s="140"/>
      <c r="Z17" s="140"/>
      <c r="AA17" s="140"/>
      <c r="AB17" s="140"/>
    </row>
    <row r="18" spans="3:28" x14ac:dyDescent="0.25">
      <c r="C18" s="219"/>
      <c r="D18" s="220"/>
      <c r="E18" s="220"/>
      <c r="F18" s="220"/>
      <c r="G18" s="220"/>
      <c r="H18" s="220"/>
      <c r="I18" s="220"/>
      <c r="J18" s="220"/>
      <c r="K18" s="220"/>
      <c r="L18" s="221"/>
      <c r="M18" s="221"/>
      <c r="N18" s="220"/>
      <c r="O18" s="222"/>
      <c r="P18" s="573"/>
      <c r="Q18" s="575"/>
      <c r="T18" s="140"/>
      <c r="U18" s="140"/>
      <c r="V18" s="140"/>
      <c r="W18" s="140"/>
      <c r="X18" s="140"/>
      <c r="Y18" s="140"/>
      <c r="Z18" s="140"/>
      <c r="AA18" s="140"/>
      <c r="AB18" s="140"/>
    </row>
    <row r="19" spans="3:28" ht="15.75" thickBot="1" x14ac:dyDescent="0.3">
      <c r="C19" s="223"/>
      <c r="D19" s="224"/>
      <c r="E19" s="224"/>
      <c r="F19" s="224"/>
      <c r="G19" s="224"/>
      <c r="H19" s="224"/>
      <c r="I19" s="224"/>
      <c r="J19" s="224"/>
      <c r="K19" s="224"/>
      <c r="L19" s="225" t="s">
        <v>30</v>
      </c>
      <c r="M19" s="269">
        <f>SUM(M13:M17)</f>
        <v>686560.1</v>
      </c>
      <c r="N19" s="224"/>
      <c r="O19" s="227"/>
      <c r="P19" s="576"/>
      <c r="Q19" s="578"/>
      <c r="T19" s="140"/>
      <c r="U19" s="140"/>
      <c r="V19" s="140"/>
      <c r="W19" s="140"/>
      <c r="X19" s="140"/>
      <c r="Y19" s="140"/>
      <c r="Z19" s="140"/>
      <c r="AA19" s="140"/>
      <c r="AB19" s="140"/>
    </row>
    <row r="20" spans="3:28" x14ac:dyDescent="0.25">
      <c r="C20" s="251" t="s">
        <v>768</v>
      </c>
      <c r="D20" s="252"/>
      <c r="E20" s="234"/>
      <c r="F20" s="234"/>
      <c r="G20" s="234"/>
      <c r="H20" s="234"/>
      <c r="I20" s="234"/>
      <c r="J20" s="234"/>
      <c r="K20" s="234"/>
      <c r="L20" s="234"/>
      <c r="M20" s="237">
        <v>300000</v>
      </c>
      <c r="N20" s="234"/>
      <c r="O20" s="236"/>
      <c r="P20" s="553" t="s">
        <v>1239</v>
      </c>
      <c r="Q20" s="555"/>
      <c r="T20" s="140"/>
      <c r="U20" s="140"/>
      <c r="V20" s="140"/>
      <c r="W20" s="140"/>
      <c r="X20" s="140"/>
      <c r="Y20" s="140"/>
      <c r="Z20" s="140"/>
      <c r="AA20" s="140"/>
      <c r="AB20" s="140"/>
    </row>
    <row r="21" spans="3:28" x14ac:dyDescent="0.25">
      <c r="C21" s="232"/>
      <c r="D21" s="233" t="s">
        <v>122</v>
      </c>
      <c r="E21" s="234"/>
      <c r="F21" s="234"/>
      <c r="G21" s="234"/>
      <c r="H21" s="234"/>
      <c r="I21" s="234"/>
      <c r="J21" s="234"/>
      <c r="K21" s="234"/>
      <c r="L21" s="234"/>
      <c r="M21" s="234"/>
      <c r="N21" s="234"/>
      <c r="O21" s="236"/>
      <c r="P21" s="556"/>
      <c r="Q21" s="558"/>
      <c r="T21" s="140"/>
      <c r="U21" s="140"/>
      <c r="V21" s="140"/>
      <c r="W21" s="140"/>
      <c r="X21" s="140"/>
      <c r="Y21" s="140"/>
      <c r="Z21" s="140"/>
      <c r="AA21" s="140"/>
      <c r="AB21" s="140"/>
    </row>
    <row r="22" spans="3:28" x14ac:dyDescent="0.25">
      <c r="C22" s="232"/>
      <c r="D22" s="234" t="s">
        <v>92</v>
      </c>
      <c r="E22" s="234"/>
      <c r="F22" s="234"/>
      <c r="G22" s="234"/>
      <c r="H22" s="234"/>
      <c r="I22" s="234"/>
      <c r="J22" s="234"/>
      <c r="K22" s="234"/>
      <c r="L22" s="234"/>
      <c r="M22" s="234"/>
      <c r="N22" s="270" t="s">
        <v>127</v>
      </c>
      <c r="O22" s="271">
        <v>60</v>
      </c>
      <c r="P22" s="556"/>
      <c r="Q22" s="558"/>
      <c r="T22" s="140"/>
      <c r="U22" s="140"/>
      <c r="V22" s="140"/>
      <c r="W22" s="140"/>
      <c r="X22" s="140"/>
      <c r="Y22" s="140"/>
      <c r="Z22" s="140"/>
      <c r="AA22" s="140"/>
      <c r="AB22" s="140"/>
    </row>
    <row r="23" spans="3:28" x14ac:dyDescent="0.25">
      <c r="C23" s="232"/>
      <c r="D23" s="234" t="s">
        <v>93</v>
      </c>
      <c r="E23" s="234"/>
      <c r="F23" s="234"/>
      <c r="G23" s="234"/>
      <c r="H23" s="234"/>
      <c r="I23" s="234"/>
      <c r="J23" s="234"/>
      <c r="K23" s="234"/>
      <c r="L23" s="234"/>
      <c r="M23" s="234"/>
      <c r="N23" s="270" t="s">
        <v>127</v>
      </c>
      <c r="O23" s="271">
        <v>60</v>
      </c>
      <c r="P23" s="556"/>
      <c r="Q23" s="558"/>
      <c r="T23" s="140"/>
      <c r="U23" s="140"/>
      <c r="V23" s="140"/>
      <c r="W23" s="140"/>
      <c r="X23" s="140"/>
      <c r="Y23" s="140"/>
      <c r="Z23" s="140"/>
      <c r="AA23" s="140"/>
      <c r="AB23" s="140"/>
    </row>
    <row r="24" spans="3:28" x14ac:dyDescent="0.25">
      <c r="C24" s="232"/>
      <c r="D24" s="234" t="s">
        <v>94</v>
      </c>
      <c r="E24" s="234"/>
      <c r="F24" s="234"/>
      <c r="G24" s="234"/>
      <c r="H24" s="234"/>
      <c r="I24" s="234"/>
      <c r="J24" s="234"/>
      <c r="K24" s="234"/>
      <c r="L24" s="234"/>
      <c r="M24" s="234"/>
      <c r="N24" s="270" t="s">
        <v>127</v>
      </c>
      <c r="O24" s="271">
        <v>60</v>
      </c>
      <c r="P24" s="556"/>
      <c r="Q24" s="558"/>
      <c r="T24" s="140"/>
      <c r="U24" s="140"/>
      <c r="V24" s="140"/>
      <c r="W24" s="140"/>
      <c r="X24" s="140"/>
      <c r="Y24" s="140"/>
      <c r="Z24" s="140"/>
      <c r="AA24" s="140"/>
      <c r="AB24" s="140"/>
    </row>
    <row r="25" spans="3:28" x14ac:dyDescent="0.25">
      <c r="C25" s="232"/>
      <c r="D25" s="234" t="s">
        <v>95</v>
      </c>
      <c r="E25" s="234"/>
      <c r="F25" s="234"/>
      <c r="G25" s="234"/>
      <c r="H25" s="234"/>
      <c r="I25" s="234"/>
      <c r="J25" s="234"/>
      <c r="K25" s="234"/>
      <c r="L25" s="234"/>
      <c r="M25" s="234"/>
      <c r="N25" s="270" t="s">
        <v>127</v>
      </c>
      <c r="O25" s="271">
        <v>60</v>
      </c>
      <c r="P25" s="556"/>
      <c r="Q25" s="558"/>
      <c r="T25" s="140"/>
      <c r="U25" s="140"/>
      <c r="V25" s="140"/>
      <c r="W25" s="140"/>
      <c r="X25" s="140"/>
      <c r="Y25" s="140"/>
      <c r="Z25" s="140"/>
      <c r="AA25" s="140"/>
      <c r="AB25" s="140"/>
    </row>
    <row r="26" spans="3:28" x14ac:dyDescent="0.25">
      <c r="C26" s="232"/>
      <c r="D26" s="234" t="s">
        <v>96</v>
      </c>
      <c r="E26" s="234"/>
      <c r="F26" s="234"/>
      <c r="G26" s="234"/>
      <c r="H26" s="234"/>
      <c r="I26" s="234"/>
      <c r="J26" s="234"/>
      <c r="K26" s="234"/>
      <c r="L26" s="234"/>
      <c r="M26" s="234"/>
      <c r="N26" s="270"/>
      <c r="O26" s="271"/>
      <c r="P26" s="556"/>
      <c r="Q26" s="558"/>
      <c r="T26" s="140"/>
      <c r="U26" s="140"/>
      <c r="V26" s="140"/>
      <c r="W26" s="140"/>
      <c r="X26" s="140"/>
      <c r="Y26" s="140"/>
      <c r="Z26" s="140"/>
      <c r="AA26" s="140"/>
      <c r="AB26" s="140"/>
    </row>
    <row r="27" spans="3:28" x14ac:dyDescent="0.25">
      <c r="C27" s="232"/>
      <c r="D27" s="234"/>
      <c r="E27" s="234" t="s">
        <v>97</v>
      </c>
      <c r="F27" s="234"/>
      <c r="G27" s="234"/>
      <c r="H27" s="234"/>
      <c r="I27" s="234"/>
      <c r="J27" s="234"/>
      <c r="K27" s="234"/>
      <c r="L27" s="234"/>
      <c r="M27" s="234"/>
      <c r="N27" s="270" t="s">
        <v>127</v>
      </c>
      <c r="O27" s="271">
        <v>60</v>
      </c>
      <c r="P27" s="556"/>
      <c r="Q27" s="558"/>
      <c r="T27" s="140"/>
      <c r="U27" s="140"/>
      <c r="V27" s="140"/>
      <c r="W27" s="140"/>
      <c r="X27" s="140"/>
      <c r="Y27" s="140"/>
      <c r="Z27" s="140"/>
      <c r="AA27" s="140"/>
      <c r="AB27" s="140"/>
    </row>
    <row r="28" spans="3:28" x14ac:dyDescent="0.25">
      <c r="C28" s="232"/>
      <c r="D28" s="234"/>
      <c r="E28" s="234" t="s">
        <v>98</v>
      </c>
      <c r="F28" s="234"/>
      <c r="G28" s="234"/>
      <c r="H28" s="234"/>
      <c r="I28" s="234"/>
      <c r="J28" s="234"/>
      <c r="K28" s="234"/>
      <c r="L28" s="234"/>
      <c r="M28" s="234"/>
      <c r="N28" s="270" t="s">
        <v>127</v>
      </c>
      <c r="O28" s="271">
        <v>60</v>
      </c>
      <c r="P28" s="556"/>
      <c r="Q28" s="558"/>
      <c r="T28" s="140"/>
      <c r="U28" s="140"/>
      <c r="V28" s="140"/>
      <c r="W28" s="140"/>
      <c r="X28" s="140"/>
      <c r="Y28" s="140"/>
      <c r="Z28" s="140"/>
      <c r="AA28" s="140"/>
      <c r="AB28" s="140"/>
    </row>
    <row r="29" spans="3:28" x14ac:dyDescent="0.25">
      <c r="C29" s="232"/>
      <c r="D29" s="234"/>
      <c r="E29" s="234" t="s">
        <v>99</v>
      </c>
      <c r="F29" s="234"/>
      <c r="G29" s="234"/>
      <c r="H29" s="234"/>
      <c r="I29" s="234"/>
      <c r="J29" s="234"/>
      <c r="K29" s="234"/>
      <c r="L29" s="234"/>
      <c r="M29" s="234"/>
      <c r="N29" s="270" t="s">
        <v>127</v>
      </c>
      <c r="O29" s="271">
        <v>60</v>
      </c>
      <c r="P29" s="556"/>
      <c r="Q29" s="558"/>
      <c r="T29" s="140"/>
      <c r="U29" s="140"/>
      <c r="V29" s="140"/>
      <c r="W29" s="140"/>
      <c r="X29" s="140"/>
      <c r="Y29" s="140"/>
      <c r="Z29" s="140"/>
      <c r="AA29" s="140"/>
      <c r="AB29" s="140"/>
    </row>
    <row r="30" spans="3:28" x14ac:dyDescent="0.25">
      <c r="C30" s="232"/>
      <c r="D30" s="234"/>
      <c r="E30" s="234" t="s">
        <v>100</v>
      </c>
      <c r="F30" s="234"/>
      <c r="G30" s="234"/>
      <c r="H30" s="234"/>
      <c r="I30" s="234"/>
      <c r="J30" s="234"/>
      <c r="K30" s="234"/>
      <c r="L30" s="234"/>
      <c r="M30" s="234"/>
      <c r="N30" s="270" t="s">
        <v>127</v>
      </c>
      <c r="O30" s="271">
        <v>60</v>
      </c>
      <c r="P30" s="556"/>
      <c r="Q30" s="558"/>
      <c r="T30" s="140"/>
      <c r="U30" s="140"/>
      <c r="V30" s="140"/>
      <c r="W30" s="140"/>
      <c r="X30" s="140"/>
      <c r="Y30" s="140"/>
      <c r="Z30" s="140"/>
      <c r="AA30" s="140"/>
      <c r="AB30" s="140"/>
    </row>
    <row r="31" spans="3:28" x14ac:dyDescent="0.25">
      <c r="C31" s="232"/>
      <c r="D31" s="234"/>
      <c r="E31" s="234" t="s">
        <v>101</v>
      </c>
      <c r="F31" s="234"/>
      <c r="G31" s="234"/>
      <c r="H31" s="234"/>
      <c r="I31" s="234"/>
      <c r="J31" s="234"/>
      <c r="K31" s="234"/>
      <c r="L31" s="234"/>
      <c r="M31" s="234"/>
      <c r="N31" s="270" t="s">
        <v>127</v>
      </c>
      <c r="O31" s="271">
        <v>60</v>
      </c>
      <c r="P31" s="556"/>
      <c r="Q31" s="558"/>
      <c r="T31" s="140"/>
      <c r="U31" s="140"/>
      <c r="V31" s="140"/>
      <c r="W31" s="140"/>
      <c r="X31" s="140"/>
      <c r="Y31" s="140"/>
      <c r="Z31" s="140"/>
      <c r="AA31" s="140"/>
      <c r="AB31" s="140"/>
    </row>
    <row r="32" spans="3:28" x14ac:dyDescent="0.25">
      <c r="C32" s="232"/>
      <c r="D32" s="234"/>
      <c r="E32" s="234" t="s">
        <v>102</v>
      </c>
      <c r="F32" s="234"/>
      <c r="G32" s="234"/>
      <c r="H32" s="234"/>
      <c r="I32" s="234"/>
      <c r="J32" s="234"/>
      <c r="K32" s="234"/>
      <c r="L32" s="234"/>
      <c r="M32" s="234"/>
      <c r="N32" s="270" t="s">
        <v>127</v>
      </c>
      <c r="O32" s="271">
        <v>60</v>
      </c>
      <c r="P32" s="556"/>
      <c r="Q32" s="558"/>
      <c r="T32" s="140"/>
      <c r="U32" s="140"/>
      <c r="V32" s="140"/>
      <c r="W32" s="140"/>
      <c r="X32" s="140"/>
      <c r="Y32" s="140"/>
      <c r="Z32" s="140"/>
      <c r="AA32" s="140"/>
      <c r="AB32" s="140"/>
    </row>
    <row r="33" spans="3:28" x14ac:dyDescent="0.25">
      <c r="C33" s="232"/>
      <c r="D33" s="233" t="s">
        <v>123</v>
      </c>
      <c r="E33" s="234"/>
      <c r="F33" s="234"/>
      <c r="G33" s="234"/>
      <c r="H33" s="234"/>
      <c r="I33" s="234"/>
      <c r="J33" s="234"/>
      <c r="K33" s="234"/>
      <c r="L33" s="234"/>
      <c r="M33" s="234"/>
      <c r="N33" s="270"/>
      <c r="O33" s="271"/>
      <c r="P33" s="556"/>
      <c r="Q33" s="558"/>
      <c r="T33" s="140"/>
      <c r="U33" s="140"/>
      <c r="V33" s="140"/>
      <c r="W33" s="140"/>
      <c r="X33" s="140"/>
      <c r="Y33" s="140"/>
      <c r="Z33" s="140"/>
      <c r="AA33" s="140"/>
      <c r="AB33" s="140"/>
    </row>
    <row r="34" spans="3:28" x14ac:dyDescent="0.25">
      <c r="C34" s="232"/>
      <c r="D34" s="234" t="s">
        <v>103</v>
      </c>
      <c r="E34" s="234"/>
      <c r="F34" s="234"/>
      <c r="G34" s="234"/>
      <c r="H34" s="234"/>
      <c r="I34" s="234"/>
      <c r="J34" s="234"/>
      <c r="K34" s="234"/>
      <c r="L34" s="234"/>
      <c r="M34" s="234"/>
      <c r="N34" s="270" t="s">
        <v>125</v>
      </c>
      <c r="O34" s="271"/>
      <c r="P34" s="556"/>
      <c r="Q34" s="558"/>
      <c r="T34" s="140"/>
      <c r="U34" s="140"/>
      <c r="V34" s="140"/>
      <c r="W34" s="140"/>
      <c r="X34" s="140"/>
      <c r="Y34" s="140"/>
      <c r="Z34" s="140"/>
      <c r="AA34" s="140"/>
      <c r="AB34" s="140"/>
    </row>
    <row r="35" spans="3:28" x14ac:dyDescent="0.25">
      <c r="C35" s="232"/>
      <c r="D35" s="234" t="s">
        <v>104</v>
      </c>
      <c r="E35" s="234"/>
      <c r="F35" s="234"/>
      <c r="G35" s="234"/>
      <c r="H35" s="234"/>
      <c r="I35" s="234"/>
      <c r="J35" s="234"/>
      <c r="K35" s="234"/>
      <c r="L35" s="234"/>
      <c r="M35" s="234"/>
      <c r="N35" s="270" t="s">
        <v>125</v>
      </c>
      <c r="O35" s="271"/>
      <c r="P35" s="556"/>
      <c r="Q35" s="558"/>
      <c r="T35" s="140"/>
      <c r="U35" s="140"/>
      <c r="V35" s="140"/>
      <c r="W35" s="140"/>
      <c r="X35" s="140"/>
      <c r="Y35" s="140"/>
      <c r="Z35" s="140"/>
      <c r="AA35" s="140"/>
      <c r="AB35" s="140"/>
    </row>
    <row r="36" spans="3:28" x14ac:dyDescent="0.25">
      <c r="C36" s="232"/>
      <c r="D36" s="234" t="s">
        <v>105</v>
      </c>
      <c r="E36" s="234"/>
      <c r="F36" s="234"/>
      <c r="G36" s="234"/>
      <c r="H36" s="234"/>
      <c r="I36" s="234"/>
      <c r="J36" s="234"/>
      <c r="K36" s="234"/>
      <c r="L36" s="234"/>
      <c r="M36" s="234"/>
      <c r="N36" s="270" t="s">
        <v>125</v>
      </c>
      <c r="O36" s="271"/>
      <c r="P36" s="556"/>
      <c r="Q36" s="558"/>
      <c r="T36" s="140"/>
      <c r="U36" s="140"/>
      <c r="V36" s="140"/>
      <c r="W36" s="140"/>
      <c r="X36" s="140"/>
      <c r="Y36" s="140"/>
      <c r="Z36" s="140"/>
      <c r="AA36" s="140"/>
      <c r="AB36" s="140"/>
    </row>
    <row r="37" spans="3:28" x14ac:dyDescent="0.25">
      <c r="C37" s="232"/>
      <c r="D37" s="234" t="s">
        <v>106</v>
      </c>
      <c r="E37" s="234"/>
      <c r="F37" s="234"/>
      <c r="G37" s="234"/>
      <c r="H37" s="234"/>
      <c r="I37" s="234"/>
      <c r="J37" s="234"/>
      <c r="K37" s="234"/>
      <c r="L37" s="234"/>
      <c r="M37" s="234"/>
      <c r="N37" s="270" t="s">
        <v>125</v>
      </c>
      <c r="O37" s="271"/>
      <c r="P37" s="556"/>
      <c r="Q37" s="558"/>
      <c r="T37" s="140"/>
      <c r="U37" s="140"/>
      <c r="V37" s="140"/>
      <c r="W37" s="140"/>
      <c r="X37" s="140"/>
      <c r="Y37" s="140"/>
      <c r="Z37" s="140"/>
      <c r="AA37" s="140"/>
      <c r="AB37" s="140"/>
    </row>
    <row r="38" spans="3:28" x14ac:dyDescent="0.25">
      <c r="C38" s="232"/>
      <c r="D38" s="234" t="s">
        <v>107</v>
      </c>
      <c r="E38" s="234"/>
      <c r="F38" s="234"/>
      <c r="G38" s="234"/>
      <c r="H38" s="234"/>
      <c r="I38" s="234"/>
      <c r="J38" s="234"/>
      <c r="K38" s="234"/>
      <c r="L38" s="234"/>
      <c r="M38" s="234"/>
      <c r="N38" s="270" t="s">
        <v>125</v>
      </c>
      <c r="O38" s="271"/>
      <c r="P38" s="556"/>
      <c r="Q38" s="558"/>
      <c r="T38" s="140"/>
      <c r="U38" s="140"/>
      <c r="V38" s="140"/>
      <c r="W38" s="140"/>
      <c r="X38" s="140"/>
      <c r="Y38" s="140"/>
      <c r="Z38" s="140"/>
      <c r="AA38" s="140"/>
      <c r="AB38" s="140"/>
    </row>
    <row r="39" spans="3:28" x14ac:dyDescent="0.25">
      <c r="C39" s="232"/>
      <c r="D39" s="234" t="s">
        <v>134</v>
      </c>
      <c r="E39" s="234"/>
      <c r="F39" s="234"/>
      <c r="G39" s="234"/>
      <c r="H39" s="234"/>
      <c r="I39" s="234"/>
      <c r="J39" s="234"/>
      <c r="K39" s="234"/>
      <c r="L39" s="234"/>
      <c r="M39" s="234"/>
      <c r="N39" s="270" t="s">
        <v>125</v>
      </c>
      <c r="O39" s="271"/>
      <c r="P39" s="556"/>
      <c r="Q39" s="558"/>
      <c r="T39" s="140"/>
      <c r="U39" s="140"/>
      <c r="V39" s="140"/>
      <c r="W39" s="140"/>
      <c r="X39" s="140"/>
      <c r="Y39" s="140"/>
      <c r="Z39" s="140"/>
      <c r="AA39" s="140"/>
      <c r="AB39" s="140"/>
    </row>
    <row r="40" spans="3:28" x14ac:dyDescent="0.25">
      <c r="C40" s="232"/>
      <c r="D40" s="252" t="s">
        <v>910</v>
      </c>
      <c r="E40" s="234"/>
      <c r="F40" s="234"/>
      <c r="G40" s="234"/>
      <c r="H40" s="234"/>
      <c r="I40" s="234"/>
      <c r="J40" s="234"/>
      <c r="K40" s="234"/>
      <c r="L40" s="234"/>
      <c r="M40" s="237">
        <v>10000</v>
      </c>
      <c r="N40" s="270" t="s">
        <v>125</v>
      </c>
      <c r="O40" s="271"/>
      <c r="P40" s="556"/>
      <c r="Q40" s="558"/>
      <c r="T40" s="140"/>
      <c r="U40" s="140"/>
      <c r="V40" s="140"/>
      <c r="W40" s="140"/>
      <c r="X40" s="140"/>
      <c r="Y40" s="140"/>
      <c r="Z40" s="140"/>
      <c r="AA40" s="140"/>
      <c r="AB40" s="140"/>
    </row>
    <row r="41" spans="3:28" ht="15.75" thickBot="1" x14ac:dyDescent="0.3">
      <c r="C41" s="243"/>
      <c r="D41" s="244"/>
      <c r="E41" s="244"/>
      <c r="F41" s="244"/>
      <c r="G41" s="244"/>
      <c r="H41" s="244"/>
      <c r="I41" s="244"/>
      <c r="J41" s="244"/>
      <c r="K41" s="244"/>
      <c r="L41" s="245" t="s">
        <v>30</v>
      </c>
      <c r="M41" s="272">
        <f>M20+M40</f>
        <v>310000</v>
      </c>
      <c r="N41" s="253"/>
      <c r="O41" s="254"/>
      <c r="P41" s="559"/>
      <c r="Q41" s="561"/>
      <c r="T41" s="140"/>
      <c r="U41" s="140"/>
      <c r="V41" s="140"/>
      <c r="W41" s="140"/>
      <c r="X41" s="140"/>
      <c r="Y41" s="140"/>
      <c r="Z41" s="140"/>
      <c r="AA41" s="140"/>
      <c r="AB41" s="140"/>
    </row>
    <row r="42" spans="3:28" x14ac:dyDescent="0.25">
      <c r="C42" s="263" t="s">
        <v>769</v>
      </c>
      <c r="D42" s="264"/>
      <c r="E42" s="264"/>
      <c r="F42" s="220"/>
      <c r="G42" s="220"/>
      <c r="H42" s="220"/>
      <c r="I42" s="220"/>
      <c r="J42" s="220"/>
      <c r="K42" s="220"/>
      <c r="L42" s="220"/>
      <c r="M42" s="221"/>
      <c r="N42" s="220"/>
      <c r="O42" s="222"/>
      <c r="P42" s="570" t="s">
        <v>144</v>
      </c>
      <c r="Q42" s="572"/>
      <c r="T42" s="140"/>
      <c r="U42" s="140"/>
      <c r="V42" s="140"/>
      <c r="W42" s="140"/>
      <c r="X42" s="140"/>
      <c r="Y42" s="140"/>
      <c r="Z42" s="140"/>
      <c r="AA42" s="140"/>
      <c r="AB42" s="140"/>
    </row>
    <row r="43" spans="3:28" x14ac:dyDescent="0.25">
      <c r="C43" s="263" t="s">
        <v>1240</v>
      </c>
      <c r="D43" s="264"/>
      <c r="E43" s="264"/>
      <c r="F43" s="220"/>
      <c r="G43" s="220"/>
      <c r="H43" s="220"/>
      <c r="I43" s="220"/>
      <c r="J43" s="220"/>
      <c r="K43" s="220"/>
      <c r="L43" s="220"/>
      <c r="M43" s="221">
        <v>175000</v>
      </c>
      <c r="N43" s="220"/>
      <c r="O43" s="222"/>
      <c r="P43" s="573"/>
      <c r="Q43" s="575"/>
      <c r="T43" s="140"/>
      <c r="U43" s="140"/>
      <c r="V43" s="140"/>
      <c r="W43" s="140"/>
      <c r="X43" s="140"/>
      <c r="Y43" s="140"/>
      <c r="Z43" s="140"/>
      <c r="AA43" s="140"/>
      <c r="AB43" s="140"/>
    </row>
    <row r="44" spans="3:28" ht="15.75" thickBot="1" x14ac:dyDescent="0.3">
      <c r="C44" s="223"/>
      <c r="D44" s="224"/>
      <c r="E44" s="224"/>
      <c r="F44" s="224"/>
      <c r="G44" s="224"/>
      <c r="H44" s="224"/>
      <c r="I44" s="224"/>
      <c r="J44" s="224"/>
      <c r="K44" s="224"/>
      <c r="L44" s="225" t="s">
        <v>30</v>
      </c>
      <c r="M44" s="269">
        <f>M43</f>
        <v>175000</v>
      </c>
      <c r="N44" s="224"/>
      <c r="O44" s="227"/>
      <c r="P44" s="576"/>
      <c r="Q44" s="578"/>
      <c r="T44" s="140"/>
      <c r="U44" s="140"/>
      <c r="V44" s="140"/>
      <c r="W44" s="140"/>
      <c r="X44" s="140"/>
      <c r="Y44" s="140"/>
      <c r="Z44" s="140"/>
      <c r="AA44" s="140"/>
      <c r="AB44" s="140"/>
    </row>
    <row r="45" spans="3:28" x14ac:dyDescent="0.25">
      <c r="C45" s="251" t="s">
        <v>37</v>
      </c>
      <c r="D45" s="252"/>
      <c r="E45" s="234"/>
      <c r="F45" s="234"/>
      <c r="G45" s="234"/>
      <c r="H45" s="234"/>
      <c r="I45" s="234"/>
      <c r="J45" s="234"/>
      <c r="K45" s="234"/>
      <c r="L45" s="234"/>
      <c r="M45" s="234"/>
      <c r="N45" s="234"/>
      <c r="O45" s="236"/>
      <c r="P45" s="553" t="s">
        <v>757</v>
      </c>
      <c r="Q45" s="555"/>
      <c r="T45" s="140"/>
      <c r="U45" s="140"/>
      <c r="V45" s="140"/>
      <c r="W45" s="140"/>
      <c r="X45" s="140"/>
      <c r="Y45" s="140"/>
      <c r="Z45" s="140"/>
      <c r="AA45" s="140"/>
      <c r="AB45" s="140"/>
    </row>
    <row r="46" spans="3:28" x14ac:dyDescent="0.25">
      <c r="C46" s="232"/>
      <c r="D46" s="234" t="s">
        <v>108</v>
      </c>
      <c r="E46" s="234"/>
      <c r="F46" s="234"/>
      <c r="G46" s="234"/>
      <c r="H46" s="234"/>
      <c r="I46" s="234"/>
      <c r="J46" s="234"/>
      <c r="K46" s="234"/>
      <c r="L46" s="234"/>
      <c r="M46" s="234"/>
      <c r="N46" s="234"/>
      <c r="O46" s="236"/>
      <c r="P46" s="556"/>
      <c r="Q46" s="558"/>
      <c r="T46" s="140"/>
      <c r="U46" s="140"/>
      <c r="V46" s="140"/>
      <c r="W46" s="140"/>
      <c r="X46" s="140"/>
      <c r="Y46" s="140"/>
      <c r="Z46" s="140"/>
      <c r="AA46" s="140"/>
      <c r="AB46" s="140"/>
    </row>
    <row r="47" spans="3:28" x14ac:dyDescent="0.25">
      <c r="C47" s="232"/>
      <c r="D47" s="234"/>
      <c r="E47" s="234" t="s">
        <v>38</v>
      </c>
      <c r="F47" s="234"/>
      <c r="G47" s="234"/>
      <c r="H47" s="234"/>
      <c r="I47" s="234"/>
      <c r="J47" s="234"/>
      <c r="K47" s="234"/>
      <c r="L47" s="234"/>
      <c r="M47" s="234"/>
      <c r="N47" s="234"/>
      <c r="O47" s="236"/>
      <c r="P47" s="556"/>
      <c r="Q47" s="558"/>
      <c r="T47" s="140"/>
      <c r="U47" s="140"/>
      <c r="V47" s="140"/>
      <c r="W47" s="140"/>
      <c r="X47" s="140"/>
      <c r="Y47" s="140"/>
      <c r="Z47" s="140"/>
      <c r="AA47" s="140"/>
      <c r="AB47" s="140"/>
    </row>
    <row r="48" spans="3:28" x14ac:dyDescent="0.25">
      <c r="C48" s="232"/>
      <c r="D48" s="234"/>
      <c r="E48" s="234" t="s">
        <v>39</v>
      </c>
      <c r="F48" s="234"/>
      <c r="G48" s="234"/>
      <c r="H48" s="234"/>
      <c r="I48" s="234"/>
      <c r="J48" s="234"/>
      <c r="K48" s="234"/>
      <c r="L48" s="234"/>
      <c r="M48" s="234"/>
      <c r="N48" s="234"/>
      <c r="O48" s="236"/>
      <c r="P48" s="556"/>
      <c r="Q48" s="558"/>
      <c r="T48" s="140"/>
      <c r="U48" s="140"/>
      <c r="V48" s="140"/>
      <c r="W48" s="140"/>
      <c r="X48" s="140"/>
      <c r="Y48" s="140"/>
      <c r="Z48" s="140"/>
      <c r="AA48" s="140"/>
      <c r="AB48" s="140"/>
    </row>
    <row r="49" spans="3:28" x14ac:dyDescent="0.25">
      <c r="C49" s="232"/>
      <c r="D49" s="234"/>
      <c r="E49" s="234" t="s">
        <v>40</v>
      </c>
      <c r="F49" s="234"/>
      <c r="G49" s="234"/>
      <c r="H49" s="234"/>
      <c r="I49" s="234"/>
      <c r="J49" s="234"/>
      <c r="K49" s="234"/>
      <c r="L49" s="234"/>
      <c r="M49" s="234"/>
      <c r="N49" s="234"/>
      <c r="O49" s="236"/>
      <c r="P49" s="556"/>
      <c r="Q49" s="558"/>
      <c r="T49" s="140"/>
      <c r="U49" s="140"/>
      <c r="V49" s="140"/>
      <c r="W49" s="140"/>
      <c r="X49" s="140"/>
      <c r="Y49" s="140"/>
      <c r="Z49" s="140"/>
      <c r="AA49" s="140"/>
      <c r="AB49" s="140"/>
    </row>
    <row r="50" spans="3:28" x14ac:dyDescent="0.25">
      <c r="C50" s="232"/>
      <c r="D50" s="234" t="s">
        <v>135</v>
      </c>
      <c r="E50" s="234"/>
      <c r="F50" s="234"/>
      <c r="G50" s="234"/>
      <c r="H50" s="234"/>
      <c r="I50" s="234"/>
      <c r="J50" s="234"/>
      <c r="K50" s="234"/>
      <c r="L50" s="234"/>
      <c r="M50" s="234"/>
      <c r="N50" s="234"/>
      <c r="O50" s="236"/>
      <c r="P50" s="556"/>
      <c r="Q50" s="558"/>
      <c r="T50" s="140"/>
      <c r="U50" s="140"/>
      <c r="V50" s="140"/>
      <c r="W50" s="140"/>
      <c r="X50" s="140"/>
      <c r="Y50" s="140"/>
      <c r="Z50" s="140"/>
      <c r="AA50" s="140"/>
      <c r="AB50" s="140"/>
    </row>
    <row r="51" spans="3:28" x14ac:dyDescent="0.25">
      <c r="C51" s="232"/>
      <c r="D51" s="234" t="s">
        <v>109</v>
      </c>
      <c r="E51" s="234"/>
      <c r="F51" s="234"/>
      <c r="G51" s="234"/>
      <c r="H51" s="234"/>
      <c r="I51" s="234"/>
      <c r="J51" s="234"/>
      <c r="K51" s="234"/>
      <c r="L51" s="234"/>
      <c r="M51" s="234"/>
      <c r="N51" s="234"/>
      <c r="O51" s="236"/>
      <c r="P51" s="556"/>
      <c r="Q51" s="558"/>
      <c r="T51" s="140"/>
      <c r="U51" s="140"/>
      <c r="V51" s="140"/>
      <c r="W51" s="140"/>
      <c r="X51" s="140"/>
      <c r="Y51" s="140"/>
      <c r="Z51" s="140"/>
      <c r="AA51" s="140"/>
      <c r="AB51" s="140"/>
    </row>
    <row r="52" spans="3:28" ht="15.75" thickBot="1" x14ac:dyDescent="0.3">
      <c r="C52" s="243"/>
      <c r="D52" s="244" t="s">
        <v>41</v>
      </c>
      <c r="E52" s="244"/>
      <c r="F52" s="244"/>
      <c r="G52" s="244"/>
      <c r="H52" s="244"/>
      <c r="I52" s="244"/>
      <c r="J52" s="244"/>
      <c r="K52" s="244"/>
      <c r="L52" s="244"/>
      <c r="M52" s="244"/>
      <c r="N52" s="244"/>
      <c r="O52" s="258"/>
      <c r="P52" s="559"/>
      <c r="Q52" s="561"/>
      <c r="T52" s="140"/>
      <c r="U52" s="140"/>
      <c r="V52" s="140"/>
      <c r="W52" s="140"/>
      <c r="X52" s="140"/>
      <c r="Y52" s="140"/>
      <c r="Z52" s="140"/>
      <c r="AA52" s="140"/>
      <c r="AB52" s="140"/>
    </row>
    <row r="53" spans="3:28" ht="15.75" thickBot="1" x14ac:dyDescent="0.3">
      <c r="C53" s="273" t="s">
        <v>42</v>
      </c>
      <c r="D53" s="274"/>
      <c r="E53" s="275"/>
      <c r="F53" s="275"/>
      <c r="G53" s="275"/>
      <c r="H53" s="275"/>
      <c r="I53" s="275"/>
      <c r="J53" s="275"/>
      <c r="K53" s="275"/>
      <c r="L53" s="275"/>
      <c r="M53" s="275"/>
      <c r="N53" s="274" t="s">
        <v>141</v>
      </c>
      <c r="O53" s="276"/>
      <c r="P53" s="583"/>
      <c r="Q53" s="584"/>
      <c r="T53" s="140"/>
      <c r="U53" s="140"/>
      <c r="V53" s="140"/>
      <c r="W53" s="140"/>
      <c r="X53" s="140"/>
      <c r="Y53" s="140"/>
      <c r="Z53" s="140"/>
      <c r="AA53" s="140"/>
      <c r="AB53" s="140"/>
    </row>
    <row r="54" spans="3:28" ht="15.75" thickBot="1" x14ac:dyDescent="0.3">
      <c r="C54" s="256" t="s">
        <v>43</v>
      </c>
      <c r="D54" s="257"/>
      <c r="E54" s="244"/>
      <c r="F54" s="244"/>
      <c r="G54" s="244"/>
      <c r="H54" s="244"/>
      <c r="I54" s="244"/>
      <c r="J54" s="244"/>
      <c r="K54" s="244"/>
      <c r="L54" s="244"/>
      <c r="M54" s="244"/>
      <c r="N54" s="257" t="s">
        <v>141</v>
      </c>
      <c r="O54" s="258"/>
      <c r="P54" s="587"/>
      <c r="Q54" s="588"/>
      <c r="T54" s="140"/>
      <c r="U54" s="140"/>
      <c r="V54" s="140"/>
      <c r="W54" s="140"/>
      <c r="X54" s="140"/>
      <c r="Y54" s="140"/>
      <c r="Z54" s="140"/>
      <c r="AA54" s="140"/>
      <c r="AB54" s="140"/>
    </row>
    <row r="55" spans="3:28" ht="15.75" thickBot="1" x14ac:dyDescent="0.3">
      <c r="C55" s="273" t="s">
        <v>759</v>
      </c>
      <c r="D55" s="274"/>
      <c r="E55" s="275"/>
      <c r="F55" s="275"/>
      <c r="G55" s="275"/>
      <c r="H55" s="275"/>
      <c r="I55" s="275"/>
      <c r="J55" s="275"/>
      <c r="K55" s="275"/>
      <c r="L55" s="275"/>
      <c r="M55" s="275"/>
      <c r="N55" s="274" t="s">
        <v>141</v>
      </c>
      <c r="O55" s="276"/>
      <c r="P55" s="583"/>
      <c r="Q55" s="584"/>
      <c r="T55" s="140"/>
      <c r="U55" s="140"/>
      <c r="V55" s="140"/>
      <c r="W55" s="140"/>
      <c r="X55" s="140"/>
      <c r="Y55" s="140"/>
      <c r="Z55" s="140"/>
      <c r="AA55" s="140"/>
      <c r="AB55" s="140"/>
    </row>
    <row r="56" spans="3:28" ht="15" customHeight="1" x14ac:dyDescent="0.25">
      <c r="C56" s="251" t="s">
        <v>44</v>
      </c>
      <c r="D56" s="252"/>
      <c r="E56" s="234"/>
      <c r="F56" s="234"/>
      <c r="G56" s="234"/>
      <c r="H56" s="234"/>
      <c r="I56" s="234"/>
      <c r="J56" s="234"/>
      <c r="K56" s="234"/>
      <c r="L56" s="234"/>
      <c r="M56" s="234"/>
      <c r="N56" s="252" t="s">
        <v>141</v>
      </c>
      <c r="O56" s="236"/>
      <c r="P56" s="553"/>
      <c r="Q56" s="555"/>
      <c r="T56" s="140"/>
      <c r="U56" s="140"/>
      <c r="V56" s="140"/>
      <c r="W56" s="140"/>
      <c r="X56" s="140"/>
      <c r="Y56" s="140"/>
      <c r="Z56" s="140"/>
      <c r="AA56" s="140"/>
      <c r="AB56" s="140"/>
    </row>
    <row r="57" spans="3:28" x14ac:dyDescent="0.25">
      <c r="C57" s="232"/>
      <c r="D57" s="234" t="s">
        <v>115</v>
      </c>
      <c r="E57" s="234"/>
      <c r="F57" s="234"/>
      <c r="G57" s="234"/>
      <c r="H57" s="234"/>
      <c r="I57" s="234"/>
      <c r="J57" s="234"/>
      <c r="K57" s="234"/>
      <c r="L57" s="234"/>
      <c r="M57" s="234"/>
      <c r="N57" s="234"/>
      <c r="O57" s="236"/>
      <c r="P57" s="556"/>
      <c r="Q57" s="558"/>
      <c r="T57" s="140"/>
      <c r="U57" s="140"/>
      <c r="V57" s="140"/>
      <c r="W57" s="140"/>
      <c r="X57" s="140"/>
      <c r="Y57" s="140"/>
      <c r="Z57" s="140"/>
      <c r="AA57" s="140"/>
      <c r="AB57" s="140"/>
    </row>
    <row r="58" spans="3:28" x14ac:dyDescent="0.25">
      <c r="C58" s="232"/>
      <c r="D58" s="234" t="s">
        <v>110</v>
      </c>
      <c r="E58" s="234"/>
      <c r="F58" s="234"/>
      <c r="G58" s="234"/>
      <c r="H58" s="234"/>
      <c r="I58" s="234"/>
      <c r="J58" s="234"/>
      <c r="K58" s="234"/>
      <c r="L58" s="234"/>
      <c r="M58" s="234"/>
      <c r="N58" s="234"/>
      <c r="O58" s="236"/>
      <c r="P58" s="556"/>
      <c r="Q58" s="558"/>
      <c r="T58" s="140"/>
      <c r="U58" s="140"/>
      <c r="V58" s="140"/>
      <c r="W58" s="140"/>
      <c r="X58" s="140"/>
      <c r="Y58" s="140"/>
      <c r="Z58" s="140"/>
      <c r="AA58" s="140"/>
      <c r="AB58" s="140"/>
    </row>
    <row r="59" spans="3:28" x14ac:dyDescent="0.25">
      <c r="C59" s="232"/>
      <c r="D59" s="234" t="s">
        <v>111</v>
      </c>
      <c r="E59" s="234"/>
      <c r="F59" s="234"/>
      <c r="G59" s="234"/>
      <c r="H59" s="234"/>
      <c r="I59" s="234"/>
      <c r="J59" s="234"/>
      <c r="K59" s="234"/>
      <c r="L59" s="234"/>
      <c r="M59" s="234"/>
      <c r="N59" s="234"/>
      <c r="O59" s="236"/>
      <c r="P59" s="556"/>
      <c r="Q59" s="558"/>
      <c r="T59" s="140"/>
      <c r="U59" s="140"/>
      <c r="V59" s="140"/>
      <c r="W59" s="140"/>
      <c r="X59" s="140"/>
      <c r="Y59" s="140"/>
      <c r="Z59" s="140"/>
      <c r="AA59" s="140"/>
      <c r="AB59" s="140"/>
    </row>
    <row r="60" spans="3:28" ht="15.75" thickBot="1" x14ac:dyDescent="0.3">
      <c r="C60" s="243"/>
      <c r="D60" s="244" t="s">
        <v>112</v>
      </c>
      <c r="E60" s="244"/>
      <c r="F60" s="244"/>
      <c r="G60" s="244"/>
      <c r="H60" s="244"/>
      <c r="I60" s="244"/>
      <c r="J60" s="244"/>
      <c r="K60" s="244"/>
      <c r="L60" s="244"/>
      <c r="M60" s="244"/>
      <c r="N60" s="244"/>
      <c r="O60" s="258"/>
      <c r="P60" s="559"/>
      <c r="Q60" s="561"/>
      <c r="T60" s="140"/>
      <c r="U60" s="140"/>
      <c r="V60" s="140"/>
      <c r="W60" s="140"/>
      <c r="X60" s="140"/>
      <c r="Y60" s="140"/>
      <c r="Z60" s="140"/>
      <c r="AA60" s="140"/>
      <c r="AB60" s="140"/>
    </row>
    <row r="61" spans="3:28" ht="15.75" thickBot="1" x14ac:dyDescent="0.3">
      <c r="C61" s="273" t="s">
        <v>45</v>
      </c>
      <c r="D61" s="274"/>
      <c r="E61" s="275"/>
      <c r="F61" s="275"/>
      <c r="G61" s="275"/>
      <c r="H61" s="275"/>
      <c r="I61" s="275"/>
      <c r="J61" s="275"/>
      <c r="K61" s="275"/>
      <c r="L61" s="275"/>
      <c r="M61" s="275"/>
      <c r="N61" s="274" t="s">
        <v>141</v>
      </c>
      <c r="O61" s="276"/>
      <c r="P61" s="583"/>
      <c r="Q61" s="584"/>
      <c r="T61" s="140"/>
      <c r="U61" s="140"/>
      <c r="V61" s="140"/>
      <c r="W61" s="140"/>
      <c r="X61" s="140"/>
      <c r="Y61" s="140"/>
      <c r="Z61" s="140"/>
      <c r="AA61" s="140"/>
      <c r="AB61" s="140"/>
    </row>
    <row r="62" spans="3:28" x14ac:dyDescent="0.25">
      <c r="C62" s="251" t="s">
        <v>760</v>
      </c>
      <c r="D62" s="252"/>
      <c r="E62" s="234"/>
      <c r="F62" s="234"/>
      <c r="G62" s="234"/>
      <c r="H62" s="234"/>
      <c r="I62" s="234"/>
      <c r="J62" s="234"/>
      <c r="K62" s="234"/>
      <c r="L62" s="234"/>
      <c r="M62" s="237">
        <v>100000</v>
      </c>
      <c r="N62" s="234"/>
      <c r="O62" s="236"/>
      <c r="P62" s="553" t="s">
        <v>758</v>
      </c>
      <c r="Q62" s="555"/>
      <c r="T62" s="140"/>
      <c r="U62" s="140"/>
      <c r="V62" s="140"/>
      <c r="W62" s="140"/>
      <c r="X62" s="140"/>
      <c r="Y62" s="140"/>
      <c r="Z62" s="140"/>
      <c r="AA62" s="140"/>
      <c r="AB62" s="140"/>
    </row>
    <row r="63" spans="3:28" x14ac:dyDescent="0.25">
      <c r="C63" s="232"/>
      <c r="D63" s="234" t="s">
        <v>121</v>
      </c>
      <c r="E63" s="234"/>
      <c r="F63" s="234"/>
      <c r="G63" s="234"/>
      <c r="H63" s="234"/>
      <c r="I63" s="234"/>
      <c r="J63" s="234"/>
      <c r="K63" s="234"/>
      <c r="L63" s="234"/>
      <c r="M63" s="234"/>
      <c r="N63" s="234"/>
      <c r="O63" s="236"/>
      <c r="P63" s="556"/>
      <c r="Q63" s="558"/>
      <c r="T63" s="140"/>
      <c r="U63" s="140"/>
      <c r="V63" s="140"/>
      <c r="W63" s="140"/>
      <c r="X63" s="140"/>
      <c r="Y63" s="140"/>
      <c r="Z63" s="140"/>
      <c r="AA63" s="140"/>
      <c r="AB63" s="140"/>
    </row>
    <row r="64" spans="3:28" x14ac:dyDescent="0.25">
      <c r="C64" s="232"/>
      <c r="D64" s="234"/>
      <c r="E64" s="234"/>
      <c r="F64" s="234"/>
      <c r="G64" s="234"/>
      <c r="H64" s="234"/>
      <c r="I64" s="234"/>
      <c r="J64" s="234"/>
      <c r="K64" s="234"/>
      <c r="L64" s="234"/>
      <c r="M64" s="234"/>
      <c r="N64" s="234"/>
      <c r="O64" s="236"/>
      <c r="P64" s="556"/>
      <c r="Q64" s="558"/>
      <c r="T64" s="140"/>
      <c r="U64" s="140"/>
      <c r="V64" s="140"/>
      <c r="W64" s="140"/>
      <c r="X64" s="140"/>
      <c r="Y64" s="140"/>
      <c r="Z64" s="140"/>
      <c r="AA64" s="140"/>
      <c r="AB64" s="140"/>
    </row>
    <row r="65" spans="3:17" s="140" customFormat="1" ht="69" customHeight="1" thickBot="1" x14ac:dyDescent="0.3">
      <c r="C65" s="243"/>
      <c r="D65" s="277" t="s">
        <v>113</v>
      </c>
      <c r="E65" s="244"/>
      <c r="F65" s="244"/>
      <c r="G65" s="244"/>
      <c r="H65" s="244"/>
      <c r="I65" s="244"/>
      <c r="J65" s="244"/>
      <c r="K65" s="244"/>
      <c r="L65" s="245" t="s">
        <v>145</v>
      </c>
      <c r="M65" s="272">
        <f>M62</f>
        <v>100000</v>
      </c>
      <c r="N65" s="244"/>
      <c r="O65" s="258"/>
      <c r="P65" s="559"/>
      <c r="Q65" s="561"/>
    </row>
    <row r="66" spans="3:17" s="140" customFormat="1" ht="15.75" thickBot="1" x14ac:dyDescent="0.3">
      <c r="C66" s="259"/>
      <c r="D66" s="212"/>
      <c r="E66" s="212"/>
      <c r="F66" s="212"/>
      <c r="G66" s="212"/>
      <c r="H66" s="212"/>
      <c r="I66" s="212"/>
      <c r="J66" s="212"/>
      <c r="K66" s="212"/>
      <c r="L66" s="260" t="s">
        <v>52</v>
      </c>
      <c r="M66" s="278">
        <f>M19+M41+M44+M65</f>
        <v>1271560.1000000001</v>
      </c>
      <c r="N66" s="212"/>
      <c r="O66" s="262"/>
      <c r="P66" s="585"/>
      <c r="Q66" s="586"/>
    </row>
    <row r="67" spans="3:17" s="140" customFormat="1" x14ac:dyDescent="0.25"/>
    <row r="68" spans="3:17" s="140" customFormat="1" x14ac:dyDescent="0.25"/>
    <row r="69" spans="3:17" s="140" customFormat="1" x14ac:dyDescent="0.25"/>
    <row r="70" spans="3:17" s="140" customFormat="1" x14ac:dyDescent="0.25"/>
    <row r="71" spans="3:17" s="140" customFormat="1" x14ac:dyDescent="0.25"/>
    <row r="72" spans="3:17" s="140" customFormat="1" x14ac:dyDescent="0.25"/>
    <row r="73" spans="3:17" s="140" customFormat="1" x14ac:dyDescent="0.25"/>
    <row r="74" spans="3:17" s="140" customFormat="1" x14ac:dyDescent="0.25"/>
    <row r="75" spans="3:17" s="140" customFormat="1" x14ac:dyDescent="0.25"/>
    <row r="76" spans="3:17" s="140" customFormat="1" x14ac:dyDescent="0.25"/>
    <row r="77" spans="3:17" s="140" customFormat="1" x14ac:dyDescent="0.25"/>
    <row r="78" spans="3:17" s="140" customFormat="1" x14ac:dyDescent="0.25"/>
    <row r="79" spans="3:17" s="140" customFormat="1" x14ac:dyDescent="0.25"/>
    <row r="80" spans="3:17" s="140" customFormat="1" x14ac:dyDescent="0.25"/>
    <row r="81" s="140" customFormat="1" x14ac:dyDescent="0.25"/>
    <row r="82" s="140" customFormat="1" x14ac:dyDescent="0.25"/>
    <row r="83" s="140" customFormat="1" x14ac:dyDescent="0.25"/>
    <row r="84" s="140" customFormat="1" x14ac:dyDescent="0.25"/>
    <row r="85" s="140" customFormat="1" x14ac:dyDescent="0.25"/>
    <row r="86" s="140" customFormat="1" x14ac:dyDescent="0.25"/>
    <row r="87" s="140" customFormat="1" x14ac:dyDescent="0.25"/>
    <row r="88" s="140" customFormat="1" x14ac:dyDescent="0.25"/>
    <row r="89" s="140" customFormat="1" x14ac:dyDescent="0.25"/>
    <row r="90" s="140" customFormat="1" x14ac:dyDescent="0.25"/>
    <row r="91" s="140" customFormat="1" x14ac:dyDescent="0.25"/>
    <row r="92" s="140" customFormat="1" x14ac:dyDescent="0.25"/>
    <row r="93" s="140" customFormat="1" x14ac:dyDescent="0.25"/>
    <row r="94" s="140" customFormat="1" x14ac:dyDescent="0.25"/>
    <row r="95" s="140" customFormat="1" x14ac:dyDescent="0.25"/>
    <row r="96" s="140" customFormat="1" x14ac:dyDescent="0.25"/>
    <row r="97" s="140" customFormat="1" x14ac:dyDescent="0.25"/>
    <row r="98" s="140" customFormat="1" x14ac:dyDescent="0.25"/>
    <row r="99" s="140" customFormat="1" x14ac:dyDescent="0.25"/>
    <row r="100" s="140" customFormat="1" x14ac:dyDescent="0.25"/>
    <row r="101" s="140" customFormat="1" x14ac:dyDescent="0.25"/>
    <row r="102" s="140" customFormat="1" x14ac:dyDescent="0.25"/>
    <row r="103" s="140" customFormat="1" x14ac:dyDescent="0.25"/>
    <row r="104" s="140" customFormat="1" x14ac:dyDescent="0.25"/>
    <row r="105" s="140" customFormat="1" x14ac:dyDescent="0.25"/>
    <row r="106" s="140" customFormat="1" x14ac:dyDescent="0.25"/>
    <row r="107" s="140" customFormat="1" x14ac:dyDescent="0.25"/>
    <row r="108" s="140" customFormat="1" x14ac:dyDescent="0.25"/>
    <row r="109" s="140" customFormat="1" x14ac:dyDescent="0.25"/>
    <row r="110" s="140" customFormat="1" x14ac:dyDescent="0.25"/>
    <row r="111" s="140" customFormat="1" x14ac:dyDescent="0.25"/>
    <row r="112" s="140" customFormat="1" x14ac:dyDescent="0.25"/>
    <row r="113" s="140" customFormat="1" x14ac:dyDescent="0.25"/>
    <row r="114" s="140" customFormat="1" x14ac:dyDescent="0.25"/>
    <row r="115" s="140" customFormat="1" x14ac:dyDescent="0.25"/>
    <row r="116" s="140" customFormat="1" x14ac:dyDescent="0.25"/>
    <row r="117" s="140" customFormat="1" x14ac:dyDescent="0.25"/>
    <row r="118" s="140" customFormat="1" x14ac:dyDescent="0.25"/>
    <row r="119" s="140" customFormat="1" x14ac:dyDescent="0.25"/>
    <row r="120" s="140" customFormat="1" x14ac:dyDescent="0.25"/>
    <row r="121" s="140" customFormat="1" x14ac:dyDescent="0.25"/>
    <row r="122" s="140" customFormat="1" x14ac:dyDescent="0.25"/>
    <row r="123" s="140" customFormat="1" x14ac:dyDescent="0.25"/>
    <row r="124" s="140" customFormat="1" x14ac:dyDescent="0.25"/>
    <row r="125" s="140" customFormat="1" x14ac:dyDescent="0.25"/>
    <row r="126" s="140" customFormat="1" x14ac:dyDescent="0.25"/>
    <row r="127" s="140" customFormat="1" x14ac:dyDescent="0.25"/>
    <row r="128" s="140" customFormat="1" x14ac:dyDescent="0.25"/>
    <row r="129" s="140" customFormat="1" x14ac:dyDescent="0.25"/>
    <row r="130" s="140" customFormat="1" x14ac:dyDescent="0.25"/>
    <row r="131" s="140" customFormat="1" x14ac:dyDescent="0.25"/>
    <row r="132" s="140" customFormat="1" x14ac:dyDescent="0.25"/>
    <row r="133" s="140" customFormat="1" x14ac:dyDescent="0.25"/>
    <row r="134" s="140" customFormat="1" x14ac:dyDescent="0.25"/>
    <row r="135" s="140" customFormat="1" x14ac:dyDescent="0.25"/>
    <row r="136" s="140" customFormat="1" x14ac:dyDescent="0.25"/>
    <row r="137" s="140" customFormat="1" x14ac:dyDescent="0.25"/>
    <row r="138" s="140" customFormat="1" x14ac:dyDescent="0.25"/>
    <row r="139" s="140" customFormat="1" x14ac:dyDescent="0.25"/>
    <row r="140" s="140" customFormat="1" x14ac:dyDescent="0.25"/>
    <row r="141" s="140" customFormat="1" x14ac:dyDescent="0.25"/>
    <row r="142" s="140" customFormat="1" x14ac:dyDescent="0.25"/>
    <row r="143" s="140" customFormat="1" x14ac:dyDescent="0.25"/>
    <row r="144" s="140" customFormat="1" x14ac:dyDescent="0.25"/>
    <row r="145" s="140" customFormat="1" x14ac:dyDescent="0.25"/>
    <row r="146" s="140" customFormat="1" x14ac:dyDescent="0.25"/>
    <row r="147" s="140" customFormat="1" x14ac:dyDescent="0.25"/>
    <row r="148" s="140" customFormat="1" x14ac:dyDescent="0.25"/>
    <row r="149" s="140" customFormat="1" x14ac:dyDescent="0.25"/>
    <row r="150" s="140" customFormat="1" x14ac:dyDescent="0.25"/>
    <row r="151" s="140" customFormat="1" x14ac:dyDescent="0.25"/>
    <row r="152" s="140" customFormat="1" x14ac:dyDescent="0.25"/>
    <row r="153" s="140" customFormat="1" x14ac:dyDescent="0.25"/>
    <row r="154" s="140" customFormat="1" x14ac:dyDescent="0.25"/>
    <row r="155" s="140" customFormat="1" x14ac:dyDescent="0.25"/>
    <row r="156" s="140" customFormat="1" x14ac:dyDescent="0.25"/>
    <row r="157" s="140" customFormat="1" x14ac:dyDescent="0.25"/>
    <row r="158" s="140" customFormat="1" x14ac:dyDescent="0.25"/>
    <row r="159" s="140" customFormat="1" x14ac:dyDescent="0.25"/>
    <row r="160" s="140" customFormat="1" x14ac:dyDescent="0.25"/>
    <row r="161" s="140" customFormat="1" x14ac:dyDescent="0.25"/>
    <row r="162" s="140" customFormat="1" x14ac:dyDescent="0.25"/>
    <row r="163" s="140" customFormat="1" x14ac:dyDescent="0.25"/>
    <row r="164" s="140" customFormat="1" x14ac:dyDescent="0.25"/>
    <row r="165" s="140" customFormat="1" x14ac:dyDescent="0.25"/>
    <row r="166" s="140" customFormat="1" x14ac:dyDescent="0.25"/>
    <row r="167" s="140" customFormat="1" x14ac:dyDescent="0.25"/>
    <row r="168" s="140" customFormat="1" x14ac:dyDescent="0.25"/>
    <row r="169" s="140" customFormat="1" x14ac:dyDescent="0.25"/>
    <row r="170" s="140" customFormat="1" x14ac:dyDescent="0.25"/>
    <row r="171" s="140" customFormat="1" x14ac:dyDescent="0.25"/>
    <row r="172" s="140" customFormat="1" x14ac:dyDescent="0.25"/>
    <row r="173" s="140" customFormat="1" x14ac:dyDescent="0.25"/>
    <row r="174" s="140" customFormat="1" x14ac:dyDescent="0.25"/>
    <row r="175" s="140" customFormat="1" x14ac:dyDescent="0.25"/>
    <row r="176" s="140" customFormat="1" x14ac:dyDescent="0.25"/>
    <row r="177" s="140" customFormat="1" x14ac:dyDescent="0.25"/>
    <row r="178" s="140" customFormat="1" x14ac:dyDescent="0.25"/>
    <row r="179" s="140" customFormat="1" x14ac:dyDescent="0.25"/>
    <row r="180" s="140" customFormat="1" x14ac:dyDescent="0.25"/>
    <row r="181" s="140" customFormat="1" x14ac:dyDescent="0.25"/>
    <row r="182" s="140" customFormat="1" x14ac:dyDescent="0.25"/>
    <row r="183" s="140" customFormat="1" x14ac:dyDescent="0.25"/>
    <row r="184" s="140" customFormat="1" x14ac:dyDescent="0.25"/>
    <row r="185" s="140" customFormat="1" x14ac:dyDescent="0.25"/>
    <row r="186" s="140" customFormat="1" x14ac:dyDescent="0.25"/>
    <row r="187" s="140" customFormat="1" x14ac:dyDescent="0.25"/>
    <row r="188" s="140" customFormat="1" x14ac:dyDescent="0.25"/>
    <row r="189" s="140" customFormat="1" x14ac:dyDescent="0.25"/>
    <row r="190" s="140" customFormat="1" x14ac:dyDescent="0.25"/>
    <row r="191" s="140" customFormat="1" x14ac:dyDescent="0.25"/>
    <row r="192" s="140" customFormat="1" x14ac:dyDescent="0.25"/>
    <row r="193" s="140" customFormat="1" x14ac:dyDescent="0.25"/>
    <row r="194" s="140" customFormat="1" x14ac:dyDescent="0.25"/>
    <row r="195" s="140" customFormat="1" x14ac:dyDescent="0.25"/>
    <row r="196" s="140" customFormat="1" x14ac:dyDescent="0.25"/>
    <row r="197" s="140" customFormat="1" x14ac:dyDescent="0.25"/>
    <row r="198" s="140" customFormat="1" x14ac:dyDescent="0.25"/>
    <row r="199" s="140" customFormat="1" x14ac:dyDescent="0.25"/>
    <row r="200" s="140" customFormat="1" x14ac:dyDescent="0.25"/>
    <row r="201" s="140" customFormat="1" x14ac:dyDescent="0.25"/>
    <row r="202" s="140" customFormat="1" x14ac:dyDescent="0.25"/>
    <row r="203" s="140" customFormat="1" x14ac:dyDescent="0.25"/>
    <row r="204" s="140" customFormat="1" x14ac:dyDescent="0.25"/>
    <row r="205" s="140" customFormat="1" x14ac:dyDescent="0.25"/>
    <row r="206" s="140" customFormat="1" x14ac:dyDescent="0.25"/>
    <row r="207" s="140" customFormat="1" x14ac:dyDescent="0.25"/>
    <row r="208" s="140" customFormat="1" x14ac:dyDescent="0.25"/>
    <row r="209" s="140" customFormat="1" x14ac:dyDescent="0.25"/>
    <row r="210" s="140" customFormat="1" x14ac:dyDescent="0.25"/>
    <row r="211" s="140" customFormat="1" x14ac:dyDescent="0.25"/>
    <row r="212" s="140" customFormat="1" x14ac:dyDescent="0.25"/>
    <row r="213" s="140" customFormat="1" x14ac:dyDescent="0.25"/>
    <row r="214" s="140" customFormat="1" x14ac:dyDescent="0.25"/>
    <row r="215" s="140" customFormat="1" x14ac:dyDescent="0.25"/>
    <row r="216" s="140" customFormat="1" x14ac:dyDescent="0.25"/>
    <row r="217" s="140" customFormat="1" x14ac:dyDescent="0.25"/>
    <row r="218" s="140" customFormat="1" x14ac:dyDescent="0.25"/>
    <row r="219" s="140" customFormat="1" x14ac:dyDescent="0.25"/>
    <row r="220" s="140" customFormat="1" x14ac:dyDescent="0.25"/>
    <row r="221" s="140" customFormat="1" x14ac:dyDescent="0.25"/>
    <row r="222" s="140" customFormat="1" x14ac:dyDescent="0.25"/>
    <row r="223" s="140" customFormat="1" x14ac:dyDescent="0.25"/>
    <row r="224" s="140" customFormat="1" x14ac:dyDescent="0.25"/>
    <row r="225" s="140" customFormat="1" x14ac:dyDescent="0.25"/>
    <row r="226" s="140" customFormat="1" x14ac:dyDescent="0.25"/>
    <row r="227" s="140" customFormat="1" x14ac:dyDescent="0.25"/>
    <row r="228" s="140" customFormat="1" x14ac:dyDescent="0.25"/>
    <row r="229" s="140" customFormat="1" x14ac:dyDescent="0.25"/>
    <row r="230" s="140" customFormat="1" x14ac:dyDescent="0.25"/>
    <row r="231" s="140" customFormat="1" x14ac:dyDescent="0.25"/>
    <row r="232" s="140" customFormat="1" x14ac:dyDescent="0.25"/>
    <row r="233" s="140" customFormat="1" x14ac:dyDescent="0.25"/>
    <row r="234" s="140" customFormat="1" x14ac:dyDescent="0.25"/>
    <row r="235" s="140" customFormat="1" x14ac:dyDescent="0.25"/>
    <row r="236" s="140" customFormat="1" x14ac:dyDescent="0.25"/>
    <row r="237" s="140" customFormat="1" x14ac:dyDescent="0.25"/>
    <row r="238" s="140" customFormat="1" x14ac:dyDescent="0.25"/>
    <row r="239" s="140" customFormat="1" x14ac:dyDescent="0.25"/>
    <row r="240" s="140" customFormat="1" x14ac:dyDescent="0.25"/>
    <row r="241" s="140" customFormat="1" x14ac:dyDescent="0.25"/>
    <row r="242" s="140" customFormat="1" x14ac:dyDescent="0.25"/>
    <row r="243" s="140" customFormat="1" x14ac:dyDescent="0.25"/>
    <row r="244" s="140" customFormat="1" x14ac:dyDescent="0.25"/>
    <row r="245" s="140" customFormat="1" x14ac:dyDescent="0.25"/>
    <row r="246" s="140" customFormat="1" x14ac:dyDescent="0.25"/>
    <row r="247" s="140" customFormat="1" x14ac:dyDescent="0.25"/>
    <row r="248" s="140" customFormat="1" x14ac:dyDescent="0.25"/>
    <row r="249" s="140" customFormat="1" x14ac:dyDescent="0.25"/>
    <row r="250" s="140" customFormat="1" x14ac:dyDescent="0.25"/>
    <row r="251" s="140" customFormat="1" x14ac:dyDescent="0.25"/>
    <row r="252" s="140" customFormat="1" x14ac:dyDescent="0.25"/>
    <row r="253" s="140" customFormat="1" x14ac:dyDescent="0.25"/>
    <row r="254" s="140" customFormat="1" x14ac:dyDescent="0.25"/>
    <row r="255" s="140" customFormat="1" x14ac:dyDescent="0.25"/>
    <row r="256" s="140" customFormat="1" x14ac:dyDescent="0.25"/>
    <row r="257" s="140" customFormat="1" x14ac:dyDescent="0.25"/>
    <row r="258" s="140" customFormat="1" x14ac:dyDescent="0.25"/>
    <row r="259" s="140" customFormat="1" x14ac:dyDescent="0.25"/>
    <row r="260" s="140" customFormat="1" x14ac:dyDescent="0.25"/>
    <row r="261" s="140" customFormat="1" x14ac:dyDescent="0.25"/>
    <row r="262" s="140" customFormat="1" x14ac:dyDescent="0.25"/>
    <row r="263" s="140" customFormat="1" x14ac:dyDescent="0.25"/>
    <row r="264" s="140" customFormat="1" x14ac:dyDescent="0.25"/>
    <row r="265" s="140" customFormat="1" x14ac:dyDescent="0.25"/>
    <row r="266" s="140" customFormat="1" x14ac:dyDescent="0.25"/>
    <row r="267" s="140" customFormat="1" x14ac:dyDescent="0.25"/>
    <row r="268" s="140" customFormat="1" x14ac:dyDescent="0.25"/>
    <row r="269" s="140" customFormat="1" x14ac:dyDescent="0.25"/>
    <row r="270" s="140" customFormat="1" x14ac:dyDescent="0.25"/>
    <row r="271" s="140" customFormat="1" x14ac:dyDescent="0.25"/>
    <row r="272" s="140" customFormat="1" x14ac:dyDescent="0.25"/>
    <row r="273" spans="3:17" s="140" customFormat="1" x14ac:dyDescent="0.25"/>
    <row r="274" spans="3:17" s="140" customFormat="1" x14ac:dyDescent="0.25"/>
    <row r="275" spans="3:17" s="140" customFormat="1" x14ac:dyDescent="0.25"/>
    <row r="276" spans="3:17" s="140" customFormat="1" x14ac:dyDescent="0.25"/>
    <row r="277" spans="3:17" s="140" customFormat="1" x14ac:dyDescent="0.25"/>
    <row r="278" spans="3:17" s="140" customFormat="1" x14ac:dyDescent="0.25"/>
    <row r="279" spans="3:17" s="140" customFormat="1" x14ac:dyDescent="0.25"/>
    <row r="280" spans="3:17" s="140" customFormat="1" x14ac:dyDescent="0.25"/>
    <row r="281" spans="3:17" s="140" customFormat="1" x14ac:dyDescent="0.25"/>
    <row r="282" spans="3:17" s="140" customFormat="1" x14ac:dyDescent="0.25"/>
    <row r="283" spans="3:17" s="140" customFormat="1" x14ac:dyDescent="0.25"/>
    <row r="284" spans="3:17" x14ac:dyDescent="0.25">
      <c r="C284" s="140"/>
      <c r="D284" s="140"/>
      <c r="E284" s="140"/>
      <c r="F284" s="140"/>
      <c r="G284" s="140"/>
      <c r="H284" s="140"/>
      <c r="I284" s="140"/>
      <c r="J284" s="140"/>
      <c r="K284" s="140"/>
      <c r="L284" s="140"/>
      <c r="M284" s="140"/>
      <c r="N284" s="140"/>
      <c r="O284" s="140"/>
      <c r="P284" s="140"/>
      <c r="Q284" s="140"/>
    </row>
    <row r="285" spans="3:17" x14ac:dyDescent="0.25">
      <c r="C285" s="140"/>
      <c r="D285" s="140"/>
      <c r="E285" s="140"/>
      <c r="F285" s="140"/>
      <c r="G285" s="140"/>
      <c r="H285" s="140"/>
      <c r="I285" s="140"/>
      <c r="J285" s="140"/>
      <c r="K285" s="140"/>
      <c r="L285" s="140"/>
      <c r="M285" s="140"/>
      <c r="N285" s="140"/>
      <c r="O285" s="140"/>
      <c r="P285" s="140"/>
      <c r="Q285" s="140"/>
    </row>
  </sheetData>
  <sheetProtection algorithmName="SHA-512" hashValue="6C50AHGgzldaF5QtK/PPP8Tzcw35Zeu3yXbhl6k8913qw2lmwkWNHPjVocWNvLwXZIikcsv0EggcM2ys/wxVhw==" saltValue="Ktn2JNO09cXPs8I3yJDABg==" spinCount="100000" sheet="1" objects="1" scenarios="1" selectLockedCells="1"/>
  <mergeCells count="14">
    <mergeCell ref="P42:Q44"/>
    <mergeCell ref="P61:Q61"/>
    <mergeCell ref="P62:Q65"/>
    <mergeCell ref="P66:Q66"/>
    <mergeCell ref="P55:Q55"/>
    <mergeCell ref="P45:Q52"/>
    <mergeCell ref="P53:Q53"/>
    <mergeCell ref="P54:Q54"/>
    <mergeCell ref="P56:Q60"/>
    <mergeCell ref="N10:N11"/>
    <mergeCell ref="O10:O11"/>
    <mergeCell ref="P10:Q11"/>
    <mergeCell ref="P20:Q41"/>
    <mergeCell ref="P12:Q19"/>
  </mergeCells>
  <pageMargins left="0.25" right="0.25" top="0.25" bottom="0.25" header="0" footer="0"/>
  <pageSetup scale="17"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903F0-BD45-42C8-81CD-50A554C87549}">
  <sheetPr>
    <pageSetUpPr fitToPage="1"/>
  </sheetPr>
  <dimension ref="A1:AP94"/>
  <sheetViews>
    <sheetView zoomScaleNormal="100" workbookViewId="0">
      <selection activeCell="Z129" sqref="Z129"/>
    </sheetView>
  </sheetViews>
  <sheetFormatPr defaultColWidth="8.7109375" defaultRowHeight="15" x14ac:dyDescent="0.25"/>
  <cols>
    <col min="1" max="2" width="8.7109375" style="140"/>
    <col min="3" max="10" width="8.7109375" style="207"/>
    <col min="11" max="11" width="10.5703125" style="207" customWidth="1"/>
    <col min="12" max="12" width="16.5703125" style="207" bestFit="1" customWidth="1"/>
    <col min="13" max="13" width="23.28515625" style="207" bestFit="1" customWidth="1"/>
    <col min="14" max="14" width="14.7109375" style="207" customWidth="1"/>
    <col min="15" max="15" width="12" style="207" customWidth="1"/>
    <col min="16" max="16" width="8.7109375" style="207"/>
    <col min="17" max="17" width="15" style="207" customWidth="1"/>
    <col min="18" max="19" width="8.7109375" style="140"/>
    <col min="20" max="24" width="8.7109375" style="207"/>
    <col min="25" max="25" width="11.7109375" style="207" bestFit="1" customWidth="1"/>
    <col min="26" max="28" width="8.7109375" style="207"/>
    <col min="29" max="42" width="8.7109375" style="140"/>
    <col min="43" max="16384" width="8.7109375" style="207"/>
  </cols>
  <sheetData>
    <row r="1" spans="3:28" s="140" customFormat="1" x14ac:dyDescent="0.25"/>
    <row r="2" spans="3:28" x14ac:dyDescent="0.25">
      <c r="C2" s="167" t="s">
        <v>46</v>
      </c>
      <c r="D2" s="140"/>
      <c r="E2" s="140"/>
      <c r="F2" s="140"/>
      <c r="G2" s="140"/>
      <c r="H2" s="140"/>
      <c r="I2" s="140"/>
      <c r="J2" s="140"/>
      <c r="K2" s="140"/>
      <c r="L2" s="140"/>
      <c r="M2" s="140"/>
      <c r="N2" s="140"/>
      <c r="O2" s="140"/>
      <c r="P2" s="140"/>
      <c r="Q2" s="140"/>
      <c r="T2" s="140"/>
      <c r="U2" s="140"/>
      <c r="V2" s="140"/>
      <c r="W2" s="140"/>
      <c r="X2" s="140"/>
      <c r="Y2" s="140"/>
      <c r="Z2" s="140"/>
      <c r="AA2" s="140"/>
      <c r="AB2" s="140"/>
    </row>
    <row r="3" spans="3:28" x14ac:dyDescent="0.25">
      <c r="C3" s="140"/>
      <c r="D3" s="140"/>
      <c r="E3" s="140"/>
      <c r="F3" s="140"/>
      <c r="G3" s="140"/>
      <c r="H3" s="140"/>
      <c r="I3" s="140"/>
      <c r="J3" s="140"/>
      <c r="K3" s="140"/>
      <c r="L3" s="140"/>
      <c r="M3" s="140"/>
      <c r="N3" s="140"/>
      <c r="O3" s="140"/>
      <c r="P3" s="140"/>
      <c r="Q3" s="140"/>
      <c r="T3" s="140"/>
      <c r="U3" s="140"/>
      <c r="V3" s="140"/>
      <c r="W3" s="140"/>
      <c r="X3" s="140"/>
      <c r="Y3" s="140"/>
      <c r="Z3" s="140"/>
      <c r="AA3" s="140"/>
      <c r="AB3" s="140"/>
    </row>
    <row r="4" spans="3:28" x14ac:dyDescent="0.25">
      <c r="C4" s="140"/>
      <c r="D4" s="140"/>
      <c r="E4" s="140"/>
      <c r="F4" s="140"/>
      <c r="G4" s="140"/>
      <c r="H4" s="140"/>
      <c r="I4" s="140"/>
      <c r="J4" s="140"/>
      <c r="K4" s="140"/>
      <c r="L4" s="140"/>
      <c r="M4" s="140"/>
      <c r="N4" s="140"/>
      <c r="O4" s="140"/>
      <c r="P4" s="140"/>
      <c r="Q4" s="140"/>
      <c r="T4" s="140"/>
      <c r="U4" s="140"/>
      <c r="V4" s="140"/>
      <c r="W4" s="140"/>
      <c r="X4" s="140"/>
      <c r="Y4" s="140"/>
      <c r="Z4" s="140"/>
      <c r="AA4" s="140"/>
      <c r="AB4" s="140"/>
    </row>
    <row r="5" spans="3:28" x14ac:dyDescent="0.25">
      <c r="C5" s="140"/>
      <c r="D5" s="140"/>
      <c r="E5" s="140"/>
      <c r="F5" s="140"/>
      <c r="G5" s="140"/>
      <c r="H5" s="140"/>
      <c r="I5" s="140"/>
      <c r="J5" s="140"/>
      <c r="K5" s="140"/>
      <c r="L5" s="140"/>
      <c r="M5" s="140"/>
      <c r="N5" s="140"/>
      <c r="O5" s="140"/>
      <c r="P5" s="140"/>
      <c r="Q5" s="140"/>
      <c r="T5" s="140"/>
      <c r="U5" s="140"/>
      <c r="V5" s="140"/>
      <c r="W5" s="140"/>
      <c r="X5" s="140"/>
      <c r="Y5" s="140"/>
      <c r="Z5" s="140"/>
      <c r="AA5" s="140"/>
      <c r="AB5" s="140"/>
    </row>
    <row r="6" spans="3:28" x14ac:dyDescent="0.25">
      <c r="C6" s="140"/>
      <c r="D6" s="140"/>
      <c r="E6" s="140"/>
      <c r="F6" s="140"/>
      <c r="G6" s="140"/>
      <c r="H6" s="140"/>
      <c r="I6" s="140"/>
      <c r="J6" s="140"/>
      <c r="K6" s="140"/>
      <c r="L6" s="140"/>
      <c r="M6" s="140"/>
      <c r="N6" s="140"/>
      <c r="O6" s="140"/>
      <c r="P6" s="140"/>
      <c r="Q6" s="140"/>
      <c r="T6" s="140"/>
      <c r="U6" s="140"/>
      <c r="V6" s="140"/>
      <c r="W6" s="140"/>
      <c r="X6" s="140"/>
      <c r="Y6" s="140"/>
      <c r="Z6" s="140"/>
      <c r="AA6" s="140"/>
      <c r="AB6" s="140"/>
    </row>
    <row r="7" spans="3:28" x14ac:dyDescent="0.25">
      <c r="C7" s="140"/>
      <c r="D7" s="140"/>
      <c r="E7" s="140"/>
      <c r="F7" s="140"/>
      <c r="G7" s="140"/>
      <c r="H7" s="140"/>
      <c r="I7" s="140"/>
      <c r="J7" s="140"/>
      <c r="K7" s="140"/>
      <c r="L7" s="140"/>
      <c r="M7" s="140"/>
      <c r="N7" s="140"/>
      <c r="O7" s="140"/>
      <c r="P7" s="140"/>
      <c r="Q7" s="140"/>
      <c r="T7" s="140"/>
      <c r="U7" s="140"/>
      <c r="V7" s="140"/>
      <c r="W7" s="140"/>
      <c r="X7" s="140"/>
      <c r="Y7" s="140"/>
      <c r="Z7" s="140"/>
      <c r="AA7" s="140"/>
      <c r="AB7" s="140"/>
    </row>
    <row r="8" spans="3:28" x14ac:dyDescent="0.25">
      <c r="C8" s="140"/>
      <c r="D8" s="140"/>
      <c r="E8" s="140"/>
      <c r="F8" s="140"/>
      <c r="G8" s="140"/>
      <c r="H8" s="140"/>
      <c r="I8" s="140"/>
      <c r="J8" s="140"/>
      <c r="K8" s="140"/>
      <c r="L8" s="140"/>
      <c r="M8" s="140"/>
      <c r="N8" s="140"/>
      <c r="O8" s="140"/>
      <c r="P8" s="140"/>
      <c r="Q8" s="140"/>
      <c r="T8" s="140"/>
      <c r="U8" s="140"/>
      <c r="V8" s="140"/>
      <c r="W8" s="140"/>
      <c r="X8" s="140"/>
      <c r="Y8" s="140"/>
      <c r="Z8" s="140"/>
      <c r="AA8" s="140"/>
      <c r="AB8" s="140"/>
    </row>
    <row r="9" spans="3:28" ht="15.75" thickBot="1" x14ac:dyDescent="0.3">
      <c r="C9" s="140"/>
      <c r="D9" s="140"/>
      <c r="E9" s="140"/>
      <c r="F9" s="140"/>
      <c r="G9" s="140"/>
      <c r="H9" s="140"/>
      <c r="I9" s="140"/>
      <c r="J9" s="140"/>
      <c r="K9" s="140"/>
      <c r="L9" s="140"/>
      <c r="M9" s="140"/>
      <c r="N9" s="140"/>
      <c r="O9" s="140"/>
      <c r="P9" s="140"/>
      <c r="Q9" s="140"/>
      <c r="T9" s="140"/>
      <c r="U9" s="140"/>
      <c r="V9" s="140"/>
      <c r="W9" s="140"/>
      <c r="X9" s="140"/>
      <c r="Y9" s="140"/>
      <c r="Z9" s="140"/>
      <c r="AA9" s="140"/>
      <c r="AB9" s="140"/>
    </row>
    <row r="10" spans="3:28" ht="16.5" customHeight="1" x14ac:dyDescent="0.25">
      <c r="C10" s="208" t="s">
        <v>24</v>
      </c>
      <c r="D10" s="209"/>
      <c r="E10" s="209"/>
      <c r="F10" s="209"/>
      <c r="G10" s="209"/>
      <c r="H10" s="209"/>
      <c r="I10" s="209"/>
      <c r="J10" s="209"/>
      <c r="K10" s="209"/>
      <c r="L10" s="210" t="s">
        <v>26</v>
      </c>
      <c r="M10" s="210" t="s">
        <v>27</v>
      </c>
      <c r="N10" s="562" t="s">
        <v>129</v>
      </c>
      <c r="O10" s="564" t="s">
        <v>126</v>
      </c>
      <c r="P10" s="579" t="s">
        <v>60</v>
      </c>
      <c r="Q10" s="580"/>
      <c r="T10" s="140"/>
      <c r="U10" s="140"/>
      <c r="V10" s="140"/>
      <c r="W10" s="140"/>
      <c r="X10" s="140"/>
      <c r="Y10" s="140"/>
      <c r="Z10" s="140"/>
      <c r="AA10" s="140"/>
      <c r="AB10" s="140"/>
    </row>
    <row r="11" spans="3:28" ht="15.75" thickBot="1" x14ac:dyDescent="0.3">
      <c r="C11" s="211"/>
      <c r="D11" s="212"/>
      <c r="E11" s="212"/>
      <c r="F11" s="212"/>
      <c r="G11" s="212"/>
      <c r="H11" s="212"/>
      <c r="I11" s="212"/>
      <c r="J11" s="212"/>
      <c r="K11" s="212"/>
      <c r="L11" s="213"/>
      <c r="M11" s="213" t="s">
        <v>28</v>
      </c>
      <c r="N11" s="563"/>
      <c r="O11" s="565"/>
      <c r="P11" s="581"/>
      <c r="Q11" s="582"/>
      <c r="T11" s="140"/>
      <c r="U11" s="140"/>
      <c r="V11" s="140"/>
      <c r="W11" s="140"/>
      <c r="X11" s="140"/>
      <c r="Y11" s="140"/>
      <c r="Z11" s="140"/>
      <c r="AA11" s="140"/>
      <c r="AB11" s="140"/>
    </row>
    <row r="12" spans="3:28" ht="16.5" customHeight="1" x14ac:dyDescent="0.25">
      <c r="C12" s="263" t="s">
        <v>761</v>
      </c>
      <c r="D12" s="264"/>
      <c r="E12" s="220"/>
      <c r="F12" s="220"/>
      <c r="G12" s="220"/>
      <c r="H12" s="220"/>
      <c r="I12" s="220"/>
      <c r="J12" s="220"/>
      <c r="K12" s="220"/>
      <c r="L12" s="220"/>
      <c r="M12" s="220"/>
      <c r="N12" s="220"/>
      <c r="O12" s="222"/>
      <c r="P12" s="570" t="s">
        <v>1245</v>
      </c>
      <c r="Q12" s="572"/>
      <c r="T12" s="140"/>
      <c r="U12" s="140"/>
      <c r="V12" s="140"/>
      <c r="W12" s="140"/>
      <c r="X12" s="140"/>
      <c r="Y12" s="140"/>
      <c r="Z12" s="140"/>
      <c r="AA12" s="140"/>
      <c r="AB12" s="140"/>
    </row>
    <row r="13" spans="3:28" x14ac:dyDescent="0.25">
      <c r="C13" s="219">
        <v>1</v>
      </c>
      <c r="D13" s="265" t="s">
        <v>1241</v>
      </c>
      <c r="E13" s="220"/>
      <c r="F13" s="220"/>
      <c r="G13" s="220"/>
      <c r="H13" s="220"/>
      <c r="I13" s="220"/>
      <c r="J13" s="220"/>
      <c r="K13" s="220"/>
      <c r="L13" s="221">
        <f>'Job Survey'!F8</f>
        <v>150000</v>
      </c>
      <c r="M13" s="221">
        <f>'Job Survey'!G8</f>
        <v>218228.51999999996</v>
      </c>
      <c r="N13" s="220"/>
      <c r="O13" s="222"/>
      <c r="P13" s="573"/>
      <c r="Q13" s="575"/>
      <c r="T13" s="140"/>
      <c r="U13" s="140"/>
      <c r="V13" s="140"/>
      <c r="W13" s="140"/>
      <c r="X13" s="140"/>
      <c r="Y13" s="140"/>
      <c r="Z13" s="140"/>
      <c r="AA13" s="140"/>
      <c r="AB13" s="140"/>
    </row>
    <row r="14" spans="3:28" x14ac:dyDescent="0.25">
      <c r="C14" s="219">
        <f>C13+1</f>
        <v>2</v>
      </c>
      <c r="D14" s="265" t="s">
        <v>1242</v>
      </c>
      <c r="E14" s="220"/>
      <c r="F14" s="220"/>
      <c r="G14" s="220"/>
      <c r="H14" s="220"/>
      <c r="I14" s="220"/>
      <c r="J14" s="220"/>
      <c r="K14" s="220"/>
      <c r="L14" s="221">
        <f>'Job Survey'!F11</f>
        <v>150000</v>
      </c>
      <c r="M14" s="221">
        <f>'Job Survey'!G11</f>
        <v>218228.51999999996</v>
      </c>
      <c r="N14" s="220"/>
      <c r="O14" s="222"/>
      <c r="P14" s="573"/>
      <c r="Q14" s="575"/>
      <c r="T14" s="140"/>
      <c r="U14" s="140"/>
      <c r="V14" s="140"/>
      <c r="W14" s="140"/>
      <c r="X14" s="140"/>
      <c r="Y14" s="140"/>
      <c r="Z14" s="140"/>
      <c r="AA14" s="140"/>
      <c r="AB14" s="140"/>
    </row>
    <row r="15" spans="3:28" x14ac:dyDescent="0.25">
      <c r="C15" s="219">
        <f t="shared" ref="C15:C20" si="0">C14+1</f>
        <v>3</v>
      </c>
      <c r="D15" s="265" t="s">
        <v>1243</v>
      </c>
      <c r="E15" s="220"/>
      <c r="F15" s="220"/>
      <c r="G15" s="220"/>
      <c r="H15" s="220"/>
      <c r="I15" s="220"/>
      <c r="J15" s="220"/>
      <c r="K15" s="220"/>
      <c r="L15" s="221">
        <f>'Job Survey'!F76</f>
        <v>45000</v>
      </c>
      <c r="M15" s="221">
        <f>'Job Survey'!G76</f>
        <v>78946.01999999999</v>
      </c>
      <c r="N15" s="220"/>
      <c r="O15" s="222"/>
      <c r="P15" s="573"/>
      <c r="Q15" s="575"/>
      <c r="T15" s="140"/>
      <c r="U15" s="140"/>
      <c r="V15" s="140"/>
      <c r="W15" s="140"/>
      <c r="X15" s="140"/>
      <c r="Y15" s="140"/>
      <c r="Z15" s="140"/>
      <c r="AA15" s="140"/>
      <c r="AB15" s="140"/>
    </row>
    <row r="16" spans="3:28" x14ac:dyDescent="0.25">
      <c r="C16" s="219">
        <f t="shared" si="0"/>
        <v>4</v>
      </c>
      <c r="D16" s="265" t="s">
        <v>200</v>
      </c>
      <c r="E16" s="220"/>
      <c r="F16" s="220"/>
      <c r="G16" s="220"/>
      <c r="H16" s="220"/>
      <c r="I16" s="220"/>
      <c r="J16" s="220"/>
      <c r="K16" s="220"/>
      <c r="L16" s="221">
        <f>'Job Survey'!F142</f>
        <v>59999.999999999993</v>
      </c>
      <c r="M16" s="221">
        <f>'Job Survey'!G142</f>
        <v>98843.520000000004</v>
      </c>
      <c r="N16" s="220"/>
      <c r="O16" s="222"/>
      <c r="P16" s="573"/>
      <c r="Q16" s="575"/>
      <c r="T16" s="140"/>
      <c r="U16" s="140"/>
      <c r="V16" s="140"/>
      <c r="W16" s="140"/>
      <c r="X16" s="140"/>
      <c r="Y16" s="140"/>
      <c r="Z16" s="140"/>
      <c r="AA16" s="140"/>
      <c r="AB16" s="140"/>
    </row>
    <row r="17" spans="3:28" x14ac:dyDescent="0.25">
      <c r="C17" s="219">
        <f t="shared" si="0"/>
        <v>5</v>
      </c>
      <c r="D17" s="265" t="s">
        <v>215</v>
      </c>
      <c r="E17" s="220"/>
      <c r="F17" s="220"/>
      <c r="G17" s="220"/>
      <c r="H17" s="220"/>
      <c r="I17" s="220"/>
      <c r="J17" s="220"/>
      <c r="K17" s="220"/>
      <c r="L17" s="221">
        <f>'Job Survey'!F127</f>
        <v>59999.999999999993</v>
      </c>
      <c r="M17" s="221">
        <f>'Job Survey'!G127</f>
        <v>98843.520000000004</v>
      </c>
      <c r="N17" s="220"/>
      <c r="O17" s="222"/>
      <c r="P17" s="573"/>
      <c r="Q17" s="575"/>
      <c r="T17" s="140"/>
      <c r="U17" s="140"/>
      <c r="V17" s="140"/>
      <c r="W17" s="140"/>
      <c r="X17" s="140"/>
      <c r="Y17" s="140"/>
      <c r="Z17" s="140"/>
      <c r="AA17" s="140"/>
      <c r="AB17" s="140"/>
    </row>
    <row r="18" spans="3:28" x14ac:dyDescent="0.25">
      <c r="C18" s="219">
        <f t="shared" si="0"/>
        <v>6</v>
      </c>
      <c r="D18" s="265" t="s">
        <v>383</v>
      </c>
      <c r="E18" s="220"/>
      <c r="F18" s="220"/>
      <c r="G18" s="220"/>
      <c r="H18" s="220"/>
      <c r="I18" s="220"/>
      <c r="J18" s="220"/>
      <c r="K18" s="220"/>
      <c r="L18" s="221">
        <f>'Job Survey'!F124</f>
        <v>59999.999999999993</v>
      </c>
      <c r="M18" s="221">
        <f>'Job Survey'!G124</f>
        <v>98843.520000000004</v>
      </c>
      <c r="N18" s="220"/>
      <c r="O18" s="222"/>
      <c r="P18" s="573"/>
      <c r="Q18" s="575"/>
      <c r="T18" s="140"/>
      <c r="U18" s="140"/>
      <c r="V18" s="140"/>
      <c r="W18" s="140"/>
      <c r="X18" s="140"/>
      <c r="Y18" s="140"/>
      <c r="Z18" s="140"/>
      <c r="AA18" s="140"/>
      <c r="AB18" s="140"/>
    </row>
    <row r="19" spans="3:28" x14ac:dyDescent="0.25">
      <c r="C19" s="219">
        <f t="shared" si="0"/>
        <v>7</v>
      </c>
      <c r="D19" s="265" t="s">
        <v>763</v>
      </c>
      <c r="E19" s="220"/>
      <c r="F19" s="220"/>
      <c r="G19" s="220"/>
      <c r="H19" s="220"/>
      <c r="I19" s="220"/>
      <c r="J19" s="220"/>
      <c r="K19" s="220"/>
      <c r="L19" s="221">
        <f>'Job Survey'!F156</f>
        <v>50000</v>
      </c>
      <c r="M19" s="221">
        <f>'Job Survey'!G156</f>
        <v>85578.52</v>
      </c>
      <c r="N19" s="220"/>
      <c r="O19" s="222"/>
      <c r="P19" s="573"/>
      <c r="Q19" s="575"/>
      <c r="T19" s="140"/>
      <c r="U19" s="140"/>
      <c r="V19" s="140"/>
      <c r="W19" s="140"/>
      <c r="X19" s="140"/>
      <c r="Y19" s="140"/>
      <c r="Z19" s="140"/>
      <c r="AA19" s="140"/>
      <c r="AB19" s="140"/>
    </row>
    <row r="20" spans="3:28" x14ac:dyDescent="0.25">
      <c r="C20" s="219">
        <f t="shared" si="0"/>
        <v>8</v>
      </c>
      <c r="D20" s="265" t="s">
        <v>1244</v>
      </c>
      <c r="E20" s="220"/>
      <c r="F20" s="220"/>
      <c r="G20" s="220"/>
      <c r="H20" s="220"/>
      <c r="I20" s="220"/>
      <c r="J20" s="220"/>
      <c r="K20" s="220"/>
      <c r="L20" s="221">
        <f>'Job Survey'!F112</f>
        <v>75000</v>
      </c>
      <c r="M20" s="221">
        <f>'Job Survey'!G112</f>
        <v>118741.01999999999</v>
      </c>
      <c r="N20" s="220"/>
      <c r="O20" s="222"/>
      <c r="P20" s="573"/>
      <c r="Q20" s="575"/>
      <c r="T20" s="140"/>
      <c r="U20" s="140"/>
      <c r="V20" s="140"/>
      <c r="W20" s="140"/>
      <c r="X20" s="140"/>
      <c r="Y20" s="140"/>
      <c r="Z20" s="140"/>
      <c r="AA20" s="140"/>
      <c r="AB20" s="140"/>
    </row>
    <row r="21" spans="3:28" x14ac:dyDescent="0.25">
      <c r="C21" s="219"/>
      <c r="D21" s="265"/>
      <c r="E21" s="220"/>
      <c r="F21" s="220"/>
      <c r="G21" s="220"/>
      <c r="H21" s="220"/>
      <c r="I21" s="220"/>
      <c r="J21" s="220"/>
      <c r="K21" s="220"/>
      <c r="L21" s="221"/>
      <c r="M21" s="221"/>
      <c r="N21" s="220"/>
      <c r="O21" s="222"/>
      <c r="P21" s="573"/>
      <c r="Q21" s="575"/>
      <c r="T21" s="140"/>
      <c r="U21" s="140"/>
      <c r="V21" s="140"/>
      <c r="W21" s="140"/>
      <c r="X21" s="140"/>
      <c r="Y21" s="140"/>
      <c r="Z21" s="140"/>
      <c r="AA21" s="140"/>
      <c r="AB21" s="140"/>
    </row>
    <row r="22" spans="3:28" ht="16.5" customHeight="1" x14ac:dyDescent="0.25">
      <c r="C22" s="219"/>
      <c r="D22" s="220"/>
      <c r="E22" s="220"/>
      <c r="F22" s="220"/>
      <c r="G22" s="220"/>
      <c r="H22" s="220"/>
      <c r="I22" s="220"/>
      <c r="J22" s="220"/>
      <c r="K22" s="220"/>
      <c r="L22" s="221"/>
      <c r="M22" s="221"/>
      <c r="N22" s="220"/>
      <c r="O22" s="222"/>
      <c r="P22" s="573"/>
      <c r="Q22" s="575"/>
      <c r="T22" s="140"/>
      <c r="U22" s="140"/>
      <c r="V22" s="140"/>
      <c r="W22" s="140"/>
      <c r="X22" s="140"/>
      <c r="Y22" s="140"/>
      <c r="Z22" s="140"/>
      <c r="AA22" s="140"/>
      <c r="AB22" s="140"/>
    </row>
    <row r="23" spans="3:28" ht="15.75" thickBot="1" x14ac:dyDescent="0.3">
      <c r="C23" s="223"/>
      <c r="D23" s="224"/>
      <c r="E23" s="224"/>
      <c r="F23" s="224"/>
      <c r="G23" s="224"/>
      <c r="H23" s="224"/>
      <c r="I23" s="224"/>
      <c r="J23" s="224"/>
      <c r="K23" s="224"/>
      <c r="L23" s="225" t="s">
        <v>30</v>
      </c>
      <c r="M23" s="269">
        <f>SUM(M13:M21)</f>
        <v>1016253.16</v>
      </c>
      <c r="N23" s="224"/>
      <c r="O23" s="227"/>
      <c r="P23" s="576"/>
      <c r="Q23" s="578"/>
      <c r="T23" s="140"/>
      <c r="U23" s="140"/>
      <c r="V23" s="140"/>
      <c r="W23" s="140"/>
      <c r="X23" s="140"/>
      <c r="Y23" s="140"/>
      <c r="Z23" s="140"/>
      <c r="AA23" s="140"/>
      <c r="AB23" s="140"/>
    </row>
    <row r="24" spans="3:28" x14ac:dyDescent="0.25">
      <c r="C24" s="228" t="s">
        <v>29</v>
      </c>
      <c r="D24" s="229"/>
      <c r="E24" s="230"/>
      <c r="F24" s="230"/>
      <c r="G24" s="230"/>
      <c r="H24" s="230"/>
      <c r="I24" s="230"/>
      <c r="J24" s="230"/>
      <c r="K24" s="230"/>
      <c r="L24" s="230"/>
      <c r="M24" s="279"/>
      <c r="N24" s="230"/>
      <c r="O24" s="231"/>
      <c r="P24" s="553" t="s">
        <v>764</v>
      </c>
      <c r="Q24" s="555"/>
      <c r="T24" s="140"/>
      <c r="U24" s="140"/>
      <c r="V24" s="140"/>
      <c r="W24" s="140"/>
      <c r="X24" s="140"/>
      <c r="Y24" s="140"/>
      <c r="Z24" s="140"/>
      <c r="AA24" s="140"/>
      <c r="AB24" s="140"/>
    </row>
    <row r="25" spans="3:28" x14ac:dyDescent="0.25">
      <c r="C25" s="251"/>
      <c r="D25" s="234" t="s">
        <v>155</v>
      </c>
      <c r="E25" s="234"/>
      <c r="F25" s="234"/>
      <c r="G25" s="234"/>
      <c r="H25" s="234"/>
      <c r="I25" s="234"/>
      <c r="J25" s="234"/>
      <c r="K25" s="234"/>
      <c r="L25" s="237">
        <v>25000</v>
      </c>
      <c r="M25" s="237">
        <v>25000</v>
      </c>
      <c r="N25" s="234"/>
      <c r="O25" s="236"/>
      <c r="P25" s="556"/>
      <c r="Q25" s="558"/>
      <c r="T25" s="140"/>
      <c r="U25" s="140"/>
      <c r="V25" s="140"/>
      <c r="W25" s="140"/>
      <c r="X25" s="140"/>
      <c r="Y25" s="140"/>
      <c r="Z25" s="140"/>
      <c r="AA25" s="140"/>
      <c r="AB25" s="140"/>
    </row>
    <row r="26" spans="3:28" x14ac:dyDescent="0.25">
      <c r="C26" s="232"/>
      <c r="D26" s="234" t="s">
        <v>154</v>
      </c>
      <c r="E26" s="234"/>
      <c r="F26" s="234"/>
      <c r="G26" s="234"/>
      <c r="H26" s="234"/>
      <c r="I26" s="234"/>
      <c r="J26" s="234"/>
      <c r="K26" s="234"/>
      <c r="L26" s="237">
        <v>90000</v>
      </c>
      <c r="M26" s="237">
        <v>90000</v>
      </c>
      <c r="N26" s="270" t="s">
        <v>125</v>
      </c>
      <c r="O26" s="271">
        <v>60</v>
      </c>
      <c r="P26" s="556"/>
      <c r="Q26" s="558"/>
      <c r="T26" s="140"/>
      <c r="U26" s="140"/>
      <c r="V26" s="140"/>
      <c r="W26" s="140"/>
      <c r="X26" s="140"/>
      <c r="Y26" s="140"/>
      <c r="Z26" s="140"/>
      <c r="AA26" s="140"/>
      <c r="AB26" s="140"/>
    </row>
    <row r="27" spans="3:28" s="140" customFormat="1" ht="40.5" customHeight="1" thickBot="1" x14ac:dyDescent="0.3">
      <c r="C27" s="243"/>
      <c r="D27" s="244"/>
      <c r="E27" s="244"/>
      <c r="F27" s="244"/>
      <c r="G27" s="244"/>
      <c r="H27" s="244"/>
      <c r="I27" s="244"/>
      <c r="J27" s="244"/>
      <c r="K27" s="244"/>
      <c r="L27" s="245" t="s">
        <v>30</v>
      </c>
      <c r="M27" s="272">
        <f>SUM(M25:M26)</f>
        <v>115000</v>
      </c>
      <c r="N27" s="244"/>
      <c r="O27" s="258"/>
      <c r="P27" s="559"/>
      <c r="Q27" s="561"/>
    </row>
    <row r="28" spans="3:28" s="140" customFormat="1" ht="15.75" thickBot="1" x14ac:dyDescent="0.3">
      <c r="C28" s="280" t="s">
        <v>47</v>
      </c>
      <c r="D28" s="281"/>
      <c r="E28" s="281"/>
      <c r="F28" s="224"/>
      <c r="G28" s="224"/>
      <c r="H28" s="224"/>
      <c r="I28" s="224"/>
      <c r="J28" s="224"/>
      <c r="K28" s="224"/>
      <c r="L28" s="224"/>
      <c r="M28" s="282"/>
      <c r="N28" s="274" t="s">
        <v>141</v>
      </c>
      <c r="O28" s="227"/>
      <c r="P28" s="583"/>
      <c r="Q28" s="584"/>
    </row>
    <row r="29" spans="3:28" s="140" customFormat="1" ht="15.75" thickBot="1" x14ac:dyDescent="0.3">
      <c r="C29" s="283" t="s">
        <v>48</v>
      </c>
      <c r="D29" s="284"/>
      <c r="E29" s="285"/>
      <c r="F29" s="285"/>
      <c r="G29" s="285"/>
      <c r="H29" s="285"/>
      <c r="I29" s="285"/>
      <c r="J29" s="285"/>
      <c r="K29" s="285"/>
      <c r="L29" s="285"/>
      <c r="M29" s="285"/>
      <c r="N29" s="257" t="s">
        <v>141</v>
      </c>
      <c r="O29" s="286"/>
      <c r="P29" s="587"/>
      <c r="Q29" s="588"/>
    </row>
    <row r="30" spans="3:28" s="140" customFormat="1" ht="15.75" thickBot="1" x14ac:dyDescent="0.3">
      <c r="C30" s="280" t="s">
        <v>766</v>
      </c>
      <c r="D30" s="281"/>
      <c r="E30" s="224"/>
      <c r="F30" s="224"/>
      <c r="G30" s="224"/>
      <c r="H30" s="224"/>
      <c r="I30" s="224"/>
      <c r="J30" s="224"/>
      <c r="K30" s="224"/>
      <c r="L30" s="224"/>
      <c r="M30" s="224"/>
      <c r="N30" s="274" t="s">
        <v>141</v>
      </c>
      <c r="O30" s="227"/>
      <c r="P30" s="583" t="s">
        <v>1249</v>
      </c>
      <c r="Q30" s="584"/>
    </row>
    <row r="31" spans="3:28" s="140" customFormat="1" ht="15.75" thickBot="1" x14ac:dyDescent="0.3">
      <c r="C31" s="283" t="s">
        <v>49</v>
      </c>
      <c r="D31" s="284"/>
      <c r="E31" s="285"/>
      <c r="F31" s="285"/>
      <c r="G31" s="285"/>
      <c r="H31" s="285"/>
      <c r="I31" s="285"/>
      <c r="J31" s="285"/>
      <c r="K31" s="285"/>
      <c r="L31" s="285"/>
      <c r="M31" s="285"/>
      <c r="N31" s="284" t="s">
        <v>141</v>
      </c>
      <c r="O31" s="286"/>
      <c r="P31" s="587"/>
      <c r="Q31" s="588"/>
    </row>
    <row r="32" spans="3:28" s="140" customFormat="1" ht="15.75" thickBot="1" x14ac:dyDescent="0.3">
      <c r="C32" s="280" t="s">
        <v>50</v>
      </c>
      <c r="D32" s="281"/>
      <c r="E32" s="224"/>
      <c r="F32" s="224"/>
      <c r="G32" s="224"/>
      <c r="H32" s="224"/>
      <c r="I32" s="224"/>
      <c r="J32" s="224"/>
      <c r="K32" s="224"/>
      <c r="L32" s="224"/>
      <c r="M32" s="224"/>
      <c r="N32" s="281" t="s">
        <v>141</v>
      </c>
      <c r="O32" s="227"/>
      <c r="P32" s="583"/>
      <c r="Q32" s="584"/>
    </row>
    <row r="33" spans="3:17" s="140" customFormat="1" ht="15.75" thickBot="1" x14ac:dyDescent="0.3">
      <c r="C33" s="283" t="s">
        <v>51</v>
      </c>
      <c r="D33" s="284"/>
      <c r="E33" s="285"/>
      <c r="F33" s="285"/>
      <c r="G33" s="285"/>
      <c r="H33" s="285"/>
      <c r="I33" s="285"/>
      <c r="J33" s="285"/>
      <c r="K33" s="285"/>
      <c r="L33" s="285"/>
      <c r="M33" s="285"/>
      <c r="N33" s="284" t="s">
        <v>141</v>
      </c>
      <c r="O33" s="286"/>
      <c r="P33" s="587" t="s">
        <v>765</v>
      </c>
      <c r="Q33" s="588"/>
    </row>
    <row r="34" spans="3:17" s="140" customFormat="1" ht="15.75" thickBot="1" x14ac:dyDescent="0.3">
      <c r="C34" s="259"/>
      <c r="D34" s="212"/>
      <c r="E34" s="212"/>
      <c r="F34" s="212"/>
      <c r="G34" s="212"/>
      <c r="H34" s="212"/>
      <c r="I34" s="212"/>
      <c r="J34" s="212"/>
      <c r="K34" s="212"/>
      <c r="L34" s="260" t="s">
        <v>52</v>
      </c>
      <c r="M34" s="278">
        <f>M23+M27</f>
        <v>1131253.1600000001</v>
      </c>
      <c r="N34" s="212"/>
      <c r="O34" s="262"/>
      <c r="P34" s="212"/>
      <c r="Q34" s="262"/>
    </row>
    <row r="35" spans="3:17" s="140" customFormat="1" x14ac:dyDescent="0.25"/>
    <row r="36" spans="3:17" s="140" customFormat="1" x14ac:dyDescent="0.25"/>
    <row r="37" spans="3:17" s="140" customFormat="1" x14ac:dyDescent="0.25"/>
    <row r="38" spans="3:17" s="140" customFormat="1" x14ac:dyDescent="0.25"/>
    <row r="39" spans="3:17" s="140" customFormat="1" x14ac:dyDescent="0.25"/>
    <row r="40" spans="3:17" s="140" customFormat="1" x14ac:dyDescent="0.25"/>
    <row r="41" spans="3:17" s="140" customFormat="1" x14ac:dyDescent="0.25"/>
    <row r="42" spans="3:17" s="140" customFormat="1" x14ac:dyDescent="0.25"/>
    <row r="43" spans="3:17" s="140" customFormat="1" x14ac:dyDescent="0.25"/>
    <row r="44" spans="3:17" s="140" customFormat="1" x14ac:dyDescent="0.25"/>
    <row r="45" spans="3:17" s="140" customFormat="1" x14ac:dyDescent="0.25"/>
    <row r="46" spans="3:17" s="140" customFormat="1" x14ac:dyDescent="0.25"/>
    <row r="47" spans="3:17" s="140" customFormat="1" x14ac:dyDescent="0.25"/>
    <row r="48" spans="3:17" s="140" customFormat="1" x14ac:dyDescent="0.25"/>
    <row r="49" s="140" customFormat="1" x14ac:dyDescent="0.25"/>
    <row r="50" s="140" customFormat="1" x14ac:dyDescent="0.25"/>
    <row r="51" s="140" customFormat="1" x14ac:dyDescent="0.25"/>
    <row r="52" s="140" customFormat="1" x14ac:dyDescent="0.25"/>
    <row r="53" s="140" customFormat="1" x14ac:dyDescent="0.25"/>
    <row r="54" s="140" customFormat="1" x14ac:dyDescent="0.25"/>
    <row r="55" s="140" customFormat="1" x14ac:dyDescent="0.25"/>
    <row r="56" s="140" customFormat="1" x14ac:dyDescent="0.25"/>
    <row r="57" s="140" customFormat="1" x14ac:dyDescent="0.25"/>
    <row r="58" s="140" customFormat="1" x14ac:dyDescent="0.25"/>
    <row r="59" s="140" customFormat="1" x14ac:dyDescent="0.25"/>
    <row r="60" s="140" customFormat="1" x14ac:dyDescent="0.25"/>
    <row r="61" s="140" customFormat="1" x14ac:dyDescent="0.25"/>
    <row r="62" s="140" customFormat="1" x14ac:dyDescent="0.25"/>
    <row r="63" s="140" customFormat="1" x14ac:dyDescent="0.25"/>
    <row r="64" s="140" customFormat="1" x14ac:dyDescent="0.25"/>
    <row r="65" s="140" customFormat="1" x14ac:dyDescent="0.25"/>
    <row r="66" s="140" customFormat="1" x14ac:dyDescent="0.25"/>
    <row r="67" s="140" customFormat="1" x14ac:dyDescent="0.25"/>
    <row r="68" s="140" customFormat="1" x14ac:dyDescent="0.25"/>
    <row r="69" s="140" customFormat="1" x14ac:dyDescent="0.25"/>
    <row r="70" s="140" customFormat="1" x14ac:dyDescent="0.25"/>
    <row r="71" s="140" customFormat="1" x14ac:dyDescent="0.25"/>
    <row r="72" s="140" customFormat="1" x14ac:dyDescent="0.25"/>
    <row r="73" s="140" customFormat="1" x14ac:dyDescent="0.25"/>
    <row r="74" s="140" customFormat="1" x14ac:dyDescent="0.25"/>
    <row r="75" s="140" customFormat="1" x14ac:dyDescent="0.25"/>
    <row r="76" s="140" customFormat="1" x14ac:dyDescent="0.25"/>
    <row r="77" s="140" customFormat="1" x14ac:dyDescent="0.25"/>
    <row r="78" s="140" customFormat="1" x14ac:dyDescent="0.25"/>
    <row r="79" s="140" customFormat="1" x14ac:dyDescent="0.25"/>
    <row r="80" s="140" customFormat="1" x14ac:dyDescent="0.25"/>
    <row r="81" spans="3:17" s="140" customFormat="1" x14ac:dyDescent="0.25"/>
    <row r="82" spans="3:17" s="140" customFormat="1" x14ac:dyDescent="0.25"/>
    <row r="83" spans="3:17" s="140" customFormat="1" x14ac:dyDescent="0.25"/>
    <row r="84" spans="3:17" s="140" customFormat="1" x14ac:dyDescent="0.25"/>
    <row r="85" spans="3:17" s="140" customFormat="1" x14ac:dyDescent="0.25"/>
    <row r="86" spans="3:17" s="140" customFormat="1" x14ac:dyDescent="0.25"/>
    <row r="87" spans="3:17" x14ac:dyDescent="0.25">
      <c r="C87" s="140"/>
      <c r="D87" s="140"/>
      <c r="E87" s="140"/>
      <c r="F87" s="140"/>
      <c r="G87" s="140"/>
      <c r="H87" s="140"/>
      <c r="I87" s="140"/>
      <c r="J87" s="140"/>
      <c r="K87" s="140"/>
      <c r="L87" s="140"/>
      <c r="M87" s="140"/>
      <c r="N87" s="140"/>
      <c r="O87" s="140"/>
      <c r="P87" s="140"/>
      <c r="Q87" s="140"/>
    </row>
    <row r="88" spans="3:17" x14ac:dyDescent="0.25">
      <c r="C88" s="140"/>
      <c r="D88" s="140"/>
      <c r="E88" s="140"/>
      <c r="F88" s="140"/>
      <c r="G88" s="140"/>
      <c r="H88" s="140"/>
      <c r="I88" s="140"/>
      <c r="J88" s="140"/>
      <c r="K88" s="140"/>
      <c r="L88" s="140"/>
      <c r="M88" s="140"/>
      <c r="N88" s="140"/>
      <c r="O88" s="140"/>
      <c r="P88" s="140"/>
      <c r="Q88" s="140"/>
    </row>
    <row r="89" spans="3:17" x14ac:dyDescent="0.25">
      <c r="C89" s="140"/>
      <c r="D89" s="140"/>
      <c r="E89" s="140"/>
      <c r="F89" s="140"/>
      <c r="G89" s="140"/>
      <c r="H89" s="140"/>
      <c r="I89" s="140"/>
      <c r="J89" s="140"/>
      <c r="K89" s="140"/>
      <c r="L89" s="140"/>
      <c r="M89" s="140"/>
      <c r="N89" s="140"/>
      <c r="O89" s="140"/>
      <c r="P89" s="140"/>
      <c r="Q89" s="140"/>
    </row>
    <row r="90" spans="3:17" x14ac:dyDescent="0.25">
      <c r="C90" s="140"/>
      <c r="D90" s="140"/>
      <c r="E90" s="140"/>
      <c r="F90" s="140"/>
      <c r="G90" s="140"/>
      <c r="H90" s="140"/>
      <c r="I90" s="140"/>
      <c r="J90" s="140"/>
      <c r="K90" s="140"/>
      <c r="L90" s="140"/>
      <c r="M90" s="140"/>
      <c r="N90" s="140"/>
      <c r="O90" s="140"/>
      <c r="P90" s="140"/>
      <c r="Q90" s="140"/>
    </row>
    <row r="91" spans="3:17" x14ac:dyDescent="0.25">
      <c r="C91" s="140"/>
      <c r="D91" s="140"/>
      <c r="E91" s="140"/>
      <c r="F91" s="140"/>
      <c r="G91" s="140"/>
      <c r="H91" s="140"/>
      <c r="I91" s="140"/>
      <c r="J91" s="140"/>
      <c r="K91" s="140"/>
      <c r="L91" s="140"/>
      <c r="M91" s="140"/>
      <c r="N91" s="140"/>
      <c r="O91" s="140"/>
      <c r="P91" s="140"/>
      <c r="Q91" s="140"/>
    </row>
    <row r="92" spans="3:17" x14ac:dyDescent="0.25">
      <c r="C92" s="140"/>
      <c r="D92" s="140"/>
      <c r="E92" s="140"/>
      <c r="F92" s="140"/>
      <c r="G92" s="140"/>
      <c r="H92" s="140"/>
      <c r="I92" s="140"/>
      <c r="J92" s="140"/>
      <c r="K92" s="140"/>
      <c r="L92" s="140"/>
      <c r="M92" s="140"/>
      <c r="N92" s="140"/>
      <c r="O92" s="140"/>
      <c r="P92" s="140"/>
      <c r="Q92" s="140"/>
    </row>
    <row r="93" spans="3:17" x14ac:dyDescent="0.25">
      <c r="C93" s="140"/>
      <c r="D93" s="140"/>
      <c r="E93" s="140"/>
      <c r="F93" s="140"/>
      <c r="G93" s="140"/>
      <c r="H93" s="140"/>
      <c r="I93" s="140"/>
      <c r="J93" s="140"/>
      <c r="K93" s="140"/>
      <c r="L93" s="140"/>
      <c r="M93" s="140"/>
      <c r="N93" s="140"/>
      <c r="O93" s="140"/>
      <c r="P93" s="140"/>
      <c r="Q93" s="140"/>
    </row>
    <row r="94" spans="3:17" x14ac:dyDescent="0.25">
      <c r="C94" s="140"/>
      <c r="D94" s="140"/>
      <c r="E94" s="140"/>
      <c r="F94" s="140"/>
      <c r="G94" s="140"/>
      <c r="H94" s="140"/>
      <c r="I94" s="140"/>
      <c r="J94" s="140"/>
      <c r="K94" s="140"/>
      <c r="L94" s="140"/>
      <c r="M94" s="140"/>
      <c r="N94" s="140"/>
      <c r="O94" s="140"/>
      <c r="P94" s="140"/>
      <c r="Q94" s="140"/>
    </row>
  </sheetData>
  <sheetProtection algorithmName="SHA-512" hashValue="uPx3ckWKfXXIGLkZUG8GD2ZkYQfGWOzOe09AaoqGk1oJM2AW3CQuDLQ7xINyxzHqCX3wZKBnLHxoSs5FFzt+Uw==" saltValue="MG+w7m79uuFAE4mEoALTtw==" spinCount="100000" sheet="1" objects="1" scenarios="1" selectLockedCells="1"/>
  <mergeCells count="11">
    <mergeCell ref="N10:N11"/>
    <mergeCell ref="O10:O11"/>
    <mergeCell ref="P10:Q11"/>
    <mergeCell ref="P33:Q33"/>
    <mergeCell ref="P28:Q28"/>
    <mergeCell ref="P30:Q30"/>
    <mergeCell ref="P32:Q32"/>
    <mergeCell ref="P29:Q29"/>
    <mergeCell ref="P31:Q31"/>
    <mergeCell ref="P24:Q27"/>
    <mergeCell ref="P12:Q23"/>
  </mergeCells>
  <pageMargins left="0.25" right="0.25" top="0.25" bottom="0.25" header="0" footer="0"/>
  <pageSetup scale="3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EB8DC-A104-4342-BBFC-E8D9120DCB2B}">
  <sheetPr>
    <pageSetUpPr fitToPage="1"/>
  </sheetPr>
  <dimension ref="A1:AR91"/>
  <sheetViews>
    <sheetView zoomScaleNormal="100" workbookViewId="0">
      <selection activeCell="Z110" sqref="Z110"/>
    </sheetView>
  </sheetViews>
  <sheetFormatPr defaultColWidth="8.7109375" defaultRowHeight="15" x14ac:dyDescent="0.25"/>
  <cols>
    <col min="1" max="2" width="8.7109375" style="140"/>
    <col min="3" max="11" width="8.7109375" style="207"/>
    <col min="12" max="12" width="16.5703125" style="207" bestFit="1" customWidth="1"/>
    <col min="13" max="13" width="23.28515625" style="207" bestFit="1" customWidth="1"/>
    <col min="14" max="14" width="14.7109375" style="207" customWidth="1"/>
    <col min="15" max="15" width="12.7109375" style="207" customWidth="1"/>
    <col min="16" max="17" width="8.7109375" style="207"/>
    <col min="18" max="19" width="8.7109375" style="140"/>
    <col min="20" max="24" width="8.7109375" style="207"/>
    <col min="25" max="25" width="11.7109375" style="207" bestFit="1" customWidth="1"/>
    <col min="26" max="28" width="8.7109375" style="207"/>
    <col min="29" max="44" width="8.7109375" style="140"/>
    <col min="45" max="16384" width="8.7109375" style="207"/>
  </cols>
  <sheetData>
    <row r="1" spans="3:28" s="140" customFormat="1" x14ac:dyDescent="0.25"/>
    <row r="2" spans="3:28" x14ac:dyDescent="0.25">
      <c r="C2" s="167" t="s">
        <v>53</v>
      </c>
      <c r="D2" s="140"/>
      <c r="E2" s="140"/>
      <c r="F2" s="140"/>
      <c r="G2" s="140"/>
      <c r="H2" s="140"/>
      <c r="I2" s="140"/>
      <c r="J2" s="140"/>
      <c r="K2" s="140"/>
      <c r="L2" s="140"/>
      <c r="M2" s="140"/>
      <c r="N2" s="140"/>
      <c r="O2" s="140"/>
      <c r="P2" s="140"/>
      <c r="Q2" s="140"/>
      <c r="T2" s="140"/>
      <c r="U2" s="140"/>
      <c r="V2" s="140"/>
      <c r="W2" s="140"/>
      <c r="X2" s="140"/>
      <c r="Y2" s="140"/>
      <c r="Z2" s="140"/>
      <c r="AA2" s="140"/>
      <c r="AB2" s="140"/>
    </row>
    <row r="3" spans="3:28" x14ac:dyDescent="0.25">
      <c r="C3" s="140"/>
      <c r="D3" s="140"/>
      <c r="E3" s="140"/>
      <c r="F3" s="140"/>
      <c r="G3" s="140"/>
      <c r="H3" s="140"/>
      <c r="I3" s="140"/>
      <c r="J3" s="140"/>
      <c r="K3" s="140"/>
      <c r="L3" s="140"/>
      <c r="M3" s="140"/>
      <c r="N3" s="140"/>
      <c r="O3" s="140"/>
      <c r="P3" s="140"/>
      <c r="Q3" s="140"/>
      <c r="T3" s="140"/>
      <c r="U3" s="140"/>
      <c r="V3" s="140"/>
      <c r="W3" s="140"/>
      <c r="X3" s="140"/>
      <c r="Y3" s="140"/>
      <c r="Z3" s="140"/>
      <c r="AA3" s="140"/>
      <c r="AB3" s="140"/>
    </row>
    <row r="4" spans="3:28" x14ac:dyDescent="0.25">
      <c r="C4" s="140"/>
      <c r="D4" s="140"/>
      <c r="E4" s="140"/>
      <c r="F4" s="140"/>
      <c r="G4" s="140"/>
      <c r="H4" s="140"/>
      <c r="I4" s="140"/>
      <c r="J4" s="140"/>
      <c r="K4" s="140"/>
      <c r="L4" s="140"/>
      <c r="M4" s="140"/>
      <c r="N4" s="140"/>
      <c r="O4" s="140"/>
      <c r="P4" s="140"/>
      <c r="Q4" s="140"/>
      <c r="T4" s="140"/>
      <c r="U4" s="140"/>
      <c r="V4" s="140"/>
      <c r="W4" s="140"/>
      <c r="X4" s="140"/>
      <c r="Y4" s="140"/>
      <c r="Z4" s="140"/>
      <c r="AA4" s="140"/>
      <c r="AB4" s="140"/>
    </row>
    <row r="5" spans="3:28" x14ac:dyDescent="0.25">
      <c r="C5" s="140"/>
      <c r="D5" s="140"/>
      <c r="E5" s="140"/>
      <c r="F5" s="140"/>
      <c r="G5" s="140"/>
      <c r="H5" s="140"/>
      <c r="I5" s="140"/>
      <c r="J5" s="140"/>
      <c r="K5" s="140"/>
      <c r="L5" s="140"/>
      <c r="M5" s="140"/>
      <c r="N5" s="140"/>
      <c r="O5" s="140"/>
      <c r="P5" s="140"/>
      <c r="Q5" s="140"/>
      <c r="T5" s="140"/>
      <c r="U5" s="140"/>
      <c r="V5" s="140"/>
      <c r="W5" s="140"/>
      <c r="X5" s="140"/>
      <c r="Y5" s="140"/>
      <c r="Z5" s="140"/>
      <c r="AA5" s="140"/>
      <c r="AB5" s="140"/>
    </row>
    <row r="6" spans="3:28" x14ac:dyDescent="0.25">
      <c r="C6" s="140"/>
      <c r="D6" s="140"/>
      <c r="E6" s="140"/>
      <c r="F6" s="140"/>
      <c r="G6" s="140"/>
      <c r="H6" s="140"/>
      <c r="I6" s="140"/>
      <c r="J6" s="140"/>
      <c r="K6" s="140"/>
      <c r="L6" s="140"/>
      <c r="M6" s="140"/>
      <c r="N6" s="140"/>
      <c r="O6" s="140"/>
      <c r="P6" s="140"/>
      <c r="Q6" s="140"/>
      <c r="T6" s="140"/>
      <c r="U6" s="140"/>
      <c r="V6" s="140"/>
      <c r="W6" s="140"/>
      <c r="X6" s="140"/>
      <c r="Y6" s="140"/>
      <c r="Z6" s="140"/>
      <c r="AA6" s="140"/>
      <c r="AB6" s="140"/>
    </row>
    <row r="7" spans="3:28" x14ac:dyDescent="0.25">
      <c r="C7" s="140"/>
      <c r="D7" s="140"/>
      <c r="E7" s="140"/>
      <c r="F7" s="140"/>
      <c r="G7" s="140"/>
      <c r="H7" s="140"/>
      <c r="I7" s="140"/>
      <c r="J7" s="140"/>
      <c r="K7" s="140"/>
      <c r="L7" s="140"/>
      <c r="M7" s="140"/>
      <c r="N7" s="140"/>
      <c r="O7" s="140"/>
      <c r="P7" s="140"/>
      <c r="Q7" s="140"/>
      <c r="T7" s="140"/>
      <c r="U7" s="140"/>
      <c r="V7" s="140"/>
      <c r="W7" s="140"/>
      <c r="X7" s="140"/>
      <c r="Y7" s="140"/>
      <c r="Z7" s="140"/>
      <c r="AA7" s="140"/>
      <c r="AB7" s="140"/>
    </row>
    <row r="8" spans="3:28" x14ac:dyDescent="0.25">
      <c r="C8" s="140"/>
      <c r="D8" s="140"/>
      <c r="E8" s="140"/>
      <c r="F8" s="140"/>
      <c r="G8" s="140"/>
      <c r="H8" s="140"/>
      <c r="I8" s="140"/>
      <c r="J8" s="140"/>
      <c r="K8" s="140"/>
      <c r="L8" s="140"/>
      <c r="M8" s="140"/>
      <c r="N8" s="140"/>
      <c r="O8" s="140"/>
      <c r="P8" s="140"/>
      <c r="Q8" s="140"/>
      <c r="T8" s="140"/>
      <c r="U8" s="140"/>
      <c r="V8" s="140"/>
      <c r="W8" s="140"/>
      <c r="X8" s="140"/>
      <c r="Y8" s="140"/>
      <c r="Z8" s="140"/>
      <c r="AA8" s="140"/>
      <c r="AB8" s="140"/>
    </row>
    <row r="9" spans="3:28" ht="15.75" thickBot="1" x14ac:dyDescent="0.3">
      <c r="C9" s="140"/>
      <c r="D9" s="140"/>
      <c r="E9" s="140"/>
      <c r="F9" s="140"/>
      <c r="G9" s="140"/>
      <c r="H9" s="140"/>
      <c r="I9" s="140"/>
      <c r="J9" s="140"/>
      <c r="K9" s="140"/>
      <c r="L9" s="140"/>
      <c r="M9" s="140"/>
      <c r="N9" s="140"/>
      <c r="O9" s="140"/>
      <c r="P9" s="140"/>
      <c r="Q9" s="140"/>
      <c r="T9" s="140"/>
      <c r="U9" s="140"/>
      <c r="V9" s="140"/>
      <c r="W9" s="140"/>
      <c r="X9" s="140"/>
      <c r="Y9" s="140"/>
      <c r="Z9" s="140"/>
      <c r="AA9" s="140"/>
      <c r="AB9" s="140"/>
    </row>
    <row r="10" spans="3:28" ht="16.5" customHeight="1" x14ac:dyDescent="0.25">
      <c r="C10" s="208" t="s">
        <v>24</v>
      </c>
      <c r="D10" s="209"/>
      <c r="E10" s="209"/>
      <c r="F10" s="209"/>
      <c r="G10" s="209"/>
      <c r="H10" s="209"/>
      <c r="I10" s="209"/>
      <c r="J10" s="209"/>
      <c r="K10" s="209"/>
      <c r="L10" s="210" t="s">
        <v>26</v>
      </c>
      <c r="M10" s="210" t="s">
        <v>27</v>
      </c>
      <c r="N10" s="562" t="s">
        <v>129</v>
      </c>
      <c r="O10" s="564" t="s">
        <v>126</v>
      </c>
      <c r="P10" s="566" t="s">
        <v>60</v>
      </c>
      <c r="Q10" s="567"/>
      <c r="T10" s="140"/>
      <c r="U10" s="140"/>
      <c r="V10" s="140"/>
      <c r="W10" s="140"/>
      <c r="X10" s="140"/>
      <c r="Y10" s="140"/>
      <c r="Z10" s="140"/>
      <c r="AA10" s="140"/>
      <c r="AB10" s="140"/>
    </row>
    <row r="11" spans="3:28" ht="15.75" thickBot="1" x14ac:dyDescent="0.3">
      <c r="C11" s="211"/>
      <c r="D11" s="212"/>
      <c r="E11" s="212"/>
      <c r="F11" s="212"/>
      <c r="G11" s="212"/>
      <c r="H11" s="212"/>
      <c r="I11" s="212"/>
      <c r="J11" s="212"/>
      <c r="K11" s="212"/>
      <c r="L11" s="213"/>
      <c r="M11" s="213" t="s">
        <v>28</v>
      </c>
      <c r="N11" s="563"/>
      <c r="O11" s="565"/>
      <c r="P11" s="568"/>
      <c r="Q11" s="569"/>
      <c r="T11" s="140"/>
      <c r="U11" s="140"/>
      <c r="V11" s="140"/>
      <c r="W11" s="140"/>
      <c r="X11" s="140"/>
      <c r="Y11" s="140"/>
      <c r="Z11" s="140"/>
      <c r="AA11" s="140"/>
      <c r="AB11" s="140"/>
    </row>
    <row r="12" spans="3:28" x14ac:dyDescent="0.25">
      <c r="C12" s="214" t="s">
        <v>771</v>
      </c>
      <c r="D12" s="215"/>
      <c r="E12" s="216"/>
      <c r="F12" s="216"/>
      <c r="G12" s="216"/>
      <c r="H12" s="216"/>
      <c r="I12" s="216"/>
      <c r="J12" s="216"/>
      <c r="K12" s="216"/>
      <c r="L12" s="216"/>
      <c r="M12" s="216"/>
      <c r="N12" s="216"/>
      <c r="O12" s="218"/>
      <c r="P12" s="570" t="s">
        <v>767</v>
      </c>
      <c r="Q12" s="572"/>
      <c r="T12" s="140"/>
      <c r="U12" s="140"/>
      <c r="V12" s="140"/>
      <c r="W12" s="140"/>
      <c r="X12" s="140"/>
      <c r="Y12" s="140"/>
      <c r="Z12" s="140"/>
      <c r="AA12" s="140"/>
      <c r="AB12" s="140"/>
    </row>
    <row r="13" spans="3:28" x14ac:dyDescent="0.25">
      <c r="C13" s="219"/>
      <c r="D13" s="220" t="s">
        <v>137</v>
      </c>
      <c r="E13" s="220"/>
      <c r="F13" s="220"/>
      <c r="G13" s="220"/>
      <c r="H13" s="220"/>
      <c r="I13" s="220"/>
      <c r="J13" s="220"/>
      <c r="K13" s="220"/>
      <c r="L13" s="221">
        <v>0</v>
      </c>
      <c r="M13" s="221">
        <f>IF(($L$13=0),0,((((L13/$Y$2)+((L13/$Y$2)*$Y$4)+((L13/$Y$2)*$Y$5)+((L13/$Y$2)*$Y$6)+((L13/$Y$2)*($Y$9/1000))+((L13/$Y$2)*($Y$10/100)))*$Y$2)+$Y$13))</f>
        <v>0</v>
      </c>
      <c r="N13" s="220"/>
      <c r="O13" s="222"/>
      <c r="P13" s="573"/>
      <c r="Q13" s="575"/>
      <c r="T13" s="140"/>
      <c r="U13" s="140"/>
      <c r="V13" s="140"/>
      <c r="W13" s="140"/>
      <c r="X13" s="140"/>
      <c r="Y13" s="140"/>
      <c r="Z13" s="140"/>
      <c r="AA13" s="140"/>
      <c r="AB13" s="140"/>
    </row>
    <row r="14" spans="3:28" ht="15.75" thickBot="1" x14ac:dyDescent="0.3">
      <c r="C14" s="223"/>
      <c r="D14" s="224"/>
      <c r="E14" s="224"/>
      <c r="F14" s="224"/>
      <c r="G14" s="224"/>
      <c r="H14" s="224"/>
      <c r="I14" s="224"/>
      <c r="J14" s="224"/>
      <c r="K14" s="224"/>
      <c r="L14" s="225" t="s">
        <v>30</v>
      </c>
      <c r="M14" s="269">
        <f>SUM(M13:M13)</f>
        <v>0</v>
      </c>
      <c r="N14" s="224"/>
      <c r="O14" s="227"/>
      <c r="P14" s="576"/>
      <c r="Q14" s="578"/>
      <c r="T14" s="140"/>
      <c r="U14" s="140"/>
      <c r="V14" s="140"/>
      <c r="W14" s="140"/>
      <c r="X14" s="140"/>
      <c r="Y14" s="140"/>
      <c r="Z14" s="140"/>
      <c r="AA14" s="140"/>
      <c r="AB14" s="140"/>
    </row>
    <row r="15" spans="3:28" x14ac:dyDescent="0.25">
      <c r="C15" s="228" t="s">
        <v>772</v>
      </c>
      <c r="D15" s="229"/>
      <c r="E15" s="230"/>
      <c r="F15" s="230"/>
      <c r="G15" s="230"/>
      <c r="H15" s="230"/>
      <c r="I15" s="230"/>
      <c r="J15" s="230"/>
      <c r="K15" s="230"/>
      <c r="L15" s="230"/>
      <c r="M15" s="279"/>
      <c r="N15" s="230"/>
      <c r="O15" s="231"/>
      <c r="P15" s="553" t="s">
        <v>767</v>
      </c>
      <c r="Q15" s="555"/>
      <c r="T15" s="140"/>
      <c r="U15" s="140"/>
      <c r="V15" s="140"/>
      <c r="W15" s="140"/>
      <c r="X15" s="140"/>
      <c r="Y15" s="140"/>
      <c r="Z15" s="140"/>
      <c r="AA15" s="140"/>
      <c r="AB15" s="140"/>
    </row>
    <row r="16" spans="3:28" x14ac:dyDescent="0.25">
      <c r="C16" s="232"/>
      <c r="D16" s="234" t="s">
        <v>136</v>
      </c>
      <c r="E16" s="234"/>
      <c r="F16" s="234"/>
      <c r="G16" s="234"/>
      <c r="H16" s="234"/>
      <c r="I16" s="234"/>
      <c r="J16" s="234"/>
      <c r="K16" s="234"/>
      <c r="L16" s="234"/>
      <c r="M16" s="237">
        <v>0</v>
      </c>
      <c r="N16" s="270" t="s">
        <v>125</v>
      </c>
      <c r="O16" s="271">
        <v>60</v>
      </c>
      <c r="P16" s="556"/>
      <c r="Q16" s="558"/>
      <c r="T16" s="140"/>
      <c r="U16" s="140"/>
      <c r="V16" s="140"/>
      <c r="W16" s="140"/>
      <c r="X16" s="140"/>
      <c r="Y16" s="140"/>
      <c r="Z16" s="140"/>
      <c r="AA16" s="140"/>
      <c r="AB16" s="140"/>
    </row>
    <row r="17" spans="3:28" ht="15.75" thickBot="1" x14ac:dyDescent="0.3">
      <c r="C17" s="243"/>
      <c r="D17" s="244"/>
      <c r="E17" s="244"/>
      <c r="F17" s="244"/>
      <c r="G17" s="244"/>
      <c r="H17" s="244"/>
      <c r="I17" s="244"/>
      <c r="J17" s="244"/>
      <c r="K17" s="244"/>
      <c r="L17" s="245" t="s">
        <v>30</v>
      </c>
      <c r="M17" s="272">
        <f>M16</f>
        <v>0</v>
      </c>
      <c r="N17" s="244"/>
      <c r="O17" s="258"/>
      <c r="P17" s="559"/>
      <c r="Q17" s="561"/>
      <c r="T17" s="140"/>
      <c r="U17" s="140"/>
      <c r="V17" s="140"/>
      <c r="W17" s="140"/>
      <c r="X17" s="140"/>
      <c r="Y17" s="140"/>
      <c r="Z17" s="140"/>
      <c r="AA17" s="140"/>
      <c r="AB17" s="140"/>
    </row>
    <row r="18" spans="3:28" x14ac:dyDescent="0.25">
      <c r="C18" s="263" t="s">
        <v>770</v>
      </c>
      <c r="D18" s="264"/>
      <c r="E18" s="264"/>
      <c r="F18" s="220"/>
      <c r="G18" s="220"/>
      <c r="H18" s="220"/>
      <c r="I18" s="220"/>
      <c r="J18" s="220"/>
      <c r="K18" s="220"/>
      <c r="L18" s="220"/>
      <c r="M18" s="221"/>
      <c r="N18" s="287"/>
      <c r="O18" s="222"/>
      <c r="P18" s="570" t="s">
        <v>767</v>
      </c>
      <c r="Q18" s="572"/>
      <c r="T18" s="140"/>
      <c r="U18" s="140"/>
      <c r="V18" s="140"/>
      <c r="W18" s="140"/>
      <c r="X18" s="140"/>
      <c r="Y18" s="140"/>
      <c r="Z18" s="140"/>
      <c r="AA18" s="140"/>
      <c r="AB18" s="140"/>
    </row>
    <row r="19" spans="3:28" ht="15.75" thickBot="1" x14ac:dyDescent="0.3">
      <c r="C19" s="223"/>
      <c r="D19" s="224" t="s">
        <v>1246</v>
      </c>
      <c r="E19" s="224"/>
      <c r="F19" s="224"/>
      <c r="G19" s="224"/>
      <c r="H19" s="224"/>
      <c r="I19" s="224"/>
      <c r="J19" s="224"/>
      <c r="K19" s="224"/>
      <c r="L19" s="225"/>
      <c r="M19" s="269">
        <v>175000</v>
      </c>
      <c r="N19" s="224"/>
      <c r="O19" s="227"/>
      <c r="P19" s="576"/>
      <c r="Q19" s="578"/>
      <c r="T19" s="140"/>
      <c r="U19" s="140"/>
      <c r="V19" s="140"/>
      <c r="W19" s="140"/>
      <c r="X19" s="140"/>
      <c r="Y19" s="140"/>
      <c r="Z19" s="140"/>
      <c r="AA19" s="140"/>
      <c r="AB19" s="140"/>
    </row>
    <row r="20" spans="3:28" ht="15" customHeight="1" x14ac:dyDescent="0.25">
      <c r="C20" s="263" t="s">
        <v>1247</v>
      </c>
      <c r="D20" s="264"/>
      <c r="E20" s="264"/>
      <c r="F20" s="220"/>
      <c r="G20" s="220"/>
      <c r="H20" s="220"/>
      <c r="I20" s="220"/>
      <c r="J20" s="220"/>
      <c r="K20" s="220"/>
      <c r="L20" s="220"/>
      <c r="M20" s="221"/>
      <c r="N20" s="287" t="s">
        <v>141</v>
      </c>
      <c r="O20" s="222"/>
      <c r="P20" s="570" t="s">
        <v>767</v>
      </c>
      <c r="Q20" s="572"/>
      <c r="T20" s="140"/>
      <c r="U20" s="140"/>
      <c r="V20" s="140"/>
      <c r="W20" s="140"/>
      <c r="X20" s="140"/>
      <c r="Y20" s="140"/>
      <c r="Z20" s="140"/>
      <c r="AA20" s="140"/>
      <c r="AB20" s="140"/>
    </row>
    <row r="21" spans="3:28" s="140" customFormat="1" ht="15.75" thickBot="1" x14ac:dyDescent="0.3">
      <c r="C21" s="223"/>
      <c r="D21" s="224"/>
      <c r="E21" s="224"/>
      <c r="F21" s="224"/>
      <c r="G21" s="224"/>
      <c r="H21" s="224"/>
      <c r="I21" s="224"/>
      <c r="J21" s="224"/>
      <c r="K21" s="224"/>
      <c r="L21" s="225" t="s">
        <v>30</v>
      </c>
      <c r="M21" s="269">
        <f>M20</f>
        <v>0</v>
      </c>
      <c r="N21" s="224"/>
      <c r="O21" s="227"/>
      <c r="P21" s="576"/>
      <c r="Q21" s="578"/>
    </row>
    <row r="22" spans="3:28" s="140" customFormat="1" ht="15" customHeight="1" thickBot="1" x14ac:dyDescent="0.3">
      <c r="C22" s="211"/>
      <c r="D22" s="212"/>
      <c r="E22" s="212"/>
      <c r="F22" s="212"/>
      <c r="G22" s="212"/>
      <c r="H22" s="212"/>
      <c r="I22" s="212"/>
      <c r="J22" s="212"/>
      <c r="K22" s="212"/>
      <c r="L22" s="260" t="s">
        <v>52</v>
      </c>
      <c r="M22" s="278">
        <f>M14+M17+M19+M21</f>
        <v>175000</v>
      </c>
      <c r="N22" s="212"/>
      <c r="O22" s="262"/>
      <c r="P22" s="589"/>
      <c r="Q22" s="590"/>
    </row>
    <row r="23" spans="3:28" s="140" customFormat="1" x14ac:dyDescent="0.25">
      <c r="C23" s="167"/>
    </row>
    <row r="24" spans="3:28" s="140" customFormat="1" x14ac:dyDescent="0.25">
      <c r="C24" s="167"/>
    </row>
    <row r="25" spans="3:28" s="140" customFormat="1" x14ac:dyDescent="0.25">
      <c r="C25" s="167"/>
    </row>
    <row r="26" spans="3:28" s="140" customFormat="1" x14ac:dyDescent="0.25">
      <c r="C26" s="167"/>
    </row>
    <row r="27" spans="3:28" s="140" customFormat="1" x14ac:dyDescent="0.25"/>
    <row r="28" spans="3:28" s="140" customFormat="1" x14ac:dyDescent="0.25"/>
    <row r="29" spans="3:28" s="140" customFormat="1" x14ac:dyDescent="0.25"/>
    <row r="30" spans="3:28" s="140" customFormat="1" x14ac:dyDescent="0.25"/>
    <row r="31" spans="3:28" s="140" customFormat="1" x14ac:dyDescent="0.25"/>
    <row r="32" spans="3:28" s="140" customFormat="1" x14ac:dyDescent="0.25"/>
    <row r="33" s="140" customFormat="1" x14ac:dyDescent="0.25"/>
    <row r="34" s="140" customFormat="1" x14ac:dyDescent="0.25"/>
    <row r="35" s="140" customFormat="1" x14ac:dyDescent="0.25"/>
    <row r="36" s="140" customFormat="1" x14ac:dyDescent="0.25"/>
    <row r="37" s="140" customFormat="1" x14ac:dyDescent="0.25"/>
    <row r="38" s="140" customFormat="1" x14ac:dyDescent="0.25"/>
    <row r="39" s="140" customFormat="1" x14ac:dyDescent="0.25"/>
    <row r="40" s="140" customFormat="1" x14ac:dyDescent="0.25"/>
    <row r="41" s="140" customFormat="1" x14ac:dyDescent="0.25"/>
    <row r="42" s="140" customFormat="1" x14ac:dyDescent="0.25"/>
    <row r="43" s="140" customFormat="1" x14ac:dyDescent="0.25"/>
    <row r="44" s="140" customFormat="1" x14ac:dyDescent="0.25"/>
    <row r="45" s="140" customFormat="1" x14ac:dyDescent="0.25"/>
    <row r="46" s="140" customFormat="1" x14ac:dyDescent="0.25"/>
    <row r="47" s="140" customFormat="1" x14ac:dyDescent="0.25"/>
    <row r="48" s="140" customFormat="1" x14ac:dyDescent="0.25"/>
    <row r="49" s="140" customFormat="1" x14ac:dyDescent="0.25"/>
    <row r="50" s="140" customFormat="1" x14ac:dyDescent="0.25"/>
    <row r="51" s="140" customFormat="1" x14ac:dyDescent="0.25"/>
    <row r="52" s="140" customFormat="1" x14ac:dyDescent="0.25"/>
    <row r="53" s="140" customFormat="1" x14ac:dyDescent="0.25"/>
    <row r="54" s="140" customFormat="1" x14ac:dyDescent="0.25"/>
    <row r="55" s="140" customFormat="1" x14ac:dyDescent="0.25"/>
    <row r="56" s="140" customFormat="1" x14ac:dyDescent="0.25"/>
    <row r="57" s="140" customFormat="1" x14ac:dyDescent="0.25"/>
    <row r="58" s="140" customFormat="1" x14ac:dyDescent="0.25"/>
    <row r="59" s="140" customFormat="1" x14ac:dyDescent="0.25"/>
    <row r="60" s="140" customFormat="1" x14ac:dyDescent="0.25"/>
    <row r="61" s="140" customFormat="1" x14ac:dyDescent="0.25"/>
    <row r="62" s="140" customFormat="1" x14ac:dyDescent="0.25"/>
    <row r="63" s="140" customFormat="1" x14ac:dyDescent="0.25"/>
    <row r="64" s="140" customFormat="1" x14ac:dyDescent="0.25"/>
    <row r="65" s="140" customFormat="1" x14ac:dyDescent="0.25"/>
    <row r="66" s="140" customFormat="1" x14ac:dyDescent="0.25"/>
    <row r="67" s="140" customFormat="1" x14ac:dyDescent="0.25"/>
    <row r="68" s="140" customFormat="1" x14ac:dyDescent="0.25"/>
    <row r="69" s="140" customFormat="1" x14ac:dyDescent="0.25"/>
    <row r="70" s="140" customFormat="1" x14ac:dyDescent="0.25"/>
    <row r="71" s="140" customFormat="1" x14ac:dyDescent="0.25"/>
    <row r="72" s="140" customFormat="1" x14ac:dyDescent="0.25"/>
    <row r="73" s="140" customFormat="1" x14ac:dyDescent="0.25"/>
    <row r="74" s="140" customFormat="1" x14ac:dyDescent="0.25"/>
    <row r="75" s="140" customFormat="1" x14ac:dyDescent="0.25"/>
    <row r="76" s="140" customFormat="1" x14ac:dyDescent="0.25"/>
    <row r="77" s="140" customFormat="1" x14ac:dyDescent="0.25"/>
    <row r="78" s="140" customFormat="1" x14ac:dyDescent="0.25"/>
    <row r="79" s="140" customFormat="1" x14ac:dyDescent="0.25"/>
    <row r="80" s="140" customFormat="1" x14ac:dyDescent="0.25"/>
    <row r="81" spans="3:17" s="140" customFormat="1" x14ac:dyDescent="0.25"/>
    <row r="82" spans="3:17" s="140" customFormat="1" x14ac:dyDescent="0.25"/>
    <row r="83" spans="3:17" s="140" customFormat="1" x14ac:dyDescent="0.25"/>
    <row r="84" spans="3:17" s="140" customFormat="1" x14ac:dyDescent="0.25"/>
    <row r="85" spans="3:17" s="140" customFormat="1" x14ac:dyDescent="0.25"/>
    <row r="86" spans="3:17" s="140" customFormat="1" x14ac:dyDescent="0.25"/>
    <row r="87" spans="3:17" s="140" customFormat="1" x14ac:dyDescent="0.25"/>
    <row r="88" spans="3:17" s="140" customFormat="1" x14ac:dyDescent="0.25"/>
    <row r="89" spans="3:17" s="140" customFormat="1" x14ac:dyDescent="0.25"/>
    <row r="90" spans="3:17" x14ac:dyDescent="0.25">
      <c r="C90" s="140"/>
      <c r="D90" s="140"/>
      <c r="E90" s="140"/>
      <c r="F90" s="140"/>
      <c r="G90" s="140"/>
      <c r="H90" s="140"/>
      <c r="I90" s="140"/>
      <c r="J90" s="140"/>
      <c r="K90" s="140"/>
      <c r="L90" s="140"/>
      <c r="M90" s="140"/>
      <c r="N90" s="140"/>
      <c r="O90" s="140"/>
      <c r="P90" s="140"/>
      <c r="Q90" s="140"/>
    </row>
    <row r="91" spans="3:17" x14ac:dyDescent="0.25">
      <c r="C91" s="140"/>
      <c r="D91" s="140"/>
      <c r="E91" s="140"/>
      <c r="F91" s="140"/>
      <c r="G91" s="140"/>
      <c r="H91" s="140"/>
      <c r="I91" s="140"/>
      <c r="J91" s="140"/>
      <c r="K91" s="140"/>
      <c r="L91" s="140"/>
      <c r="M91" s="140"/>
      <c r="N91" s="140"/>
      <c r="O91" s="140"/>
      <c r="P91" s="140"/>
      <c r="Q91" s="140"/>
    </row>
  </sheetData>
  <sheetProtection algorithmName="SHA-512" hashValue="2DKhIS5okGg0cK3cEtWDF+oxQDG5lZwZxkqmEygs4jnnEADx2mIoRPEKbdJVi014b9vK+5699AidQ2Dj+RIpKg==" saltValue="c9yBdTXERTZjlTl/PBHx0g==" spinCount="100000" sheet="1" objects="1" scenarios="1" selectLockedCells="1"/>
  <mergeCells count="8">
    <mergeCell ref="N10:N11"/>
    <mergeCell ref="O10:O11"/>
    <mergeCell ref="P10:Q11"/>
    <mergeCell ref="P18:Q19"/>
    <mergeCell ref="P22:Q22"/>
    <mergeCell ref="P12:Q14"/>
    <mergeCell ref="P15:Q17"/>
    <mergeCell ref="P20:Q21"/>
  </mergeCells>
  <pageMargins left="0.25" right="0.25" top="0.25" bottom="0.25" header="0" footer="0"/>
  <pageSetup scale="3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CBA53-53E4-4DFD-A36E-407C6DB144E0}">
  <sheetPr>
    <pageSetUpPr fitToPage="1"/>
  </sheetPr>
  <dimension ref="C4:E26"/>
  <sheetViews>
    <sheetView workbookViewId="0">
      <selection activeCell="Z87" sqref="Z87"/>
    </sheetView>
  </sheetViews>
  <sheetFormatPr defaultColWidth="9.140625" defaultRowHeight="15" x14ac:dyDescent="0.25"/>
  <cols>
    <col min="1" max="2" width="9.140625" style="2"/>
    <col min="3" max="3" width="18.5703125" style="2" customWidth="1"/>
    <col min="4" max="4" width="25.85546875" style="2" bestFit="1" customWidth="1"/>
    <col min="5" max="5" width="15.42578125" style="2" customWidth="1"/>
    <col min="6" max="16384" width="9.140625" style="2"/>
  </cols>
  <sheetData>
    <row r="4" spans="3:5" x14ac:dyDescent="0.25">
      <c r="C4" s="2" t="s">
        <v>156</v>
      </c>
    </row>
    <row r="6" spans="3:5" x14ac:dyDescent="0.25">
      <c r="C6" s="2" t="s">
        <v>157</v>
      </c>
      <c r="E6" s="2" t="s">
        <v>158</v>
      </c>
    </row>
    <row r="7" spans="3:5" x14ac:dyDescent="0.25">
      <c r="E7" s="2" t="s">
        <v>159</v>
      </c>
    </row>
    <row r="8" spans="3:5" x14ac:dyDescent="0.25">
      <c r="E8" s="2" t="s">
        <v>176</v>
      </c>
    </row>
    <row r="10" spans="3:5" x14ac:dyDescent="0.25">
      <c r="C10" s="2" t="s">
        <v>160</v>
      </c>
      <c r="E10" s="2" t="s">
        <v>161</v>
      </c>
    </row>
    <row r="11" spans="3:5" x14ac:dyDescent="0.25">
      <c r="E11" s="2" t="s">
        <v>162</v>
      </c>
    </row>
    <row r="12" spans="3:5" x14ac:dyDescent="0.25">
      <c r="E12" s="2" t="s">
        <v>163</v>
      </c>
    </row>
    <row r="13" spans="3:5" x14ac:dyDescent="0.25">
      <c r="E13" s="2" t="s">
        <v>164</v>
      </c>
    </row>
    <row r="14" spans="3:5" x14ac:dyDescent="0.25">
      <c r="E14" s="2" t="s">
        <v>165</v>
      </c>
    </row>
    <row r="15" spans="3:5" x14ac:dyDescent="0.25">
      <c r="E15" s="2" t="s">
        <v>166</v>
      </c>
    </row>
    <row r="18" spans="3:5" x14ac:dyDescent="0.25">
      <c r="C18" s="7" t="s">
        <v>177</v>
      </c>
      <c r="D18" s="7" t="s">
        <v>167</v>
      </c>
      <c r="E18" s="7" t="s">
        <v>168</v>
      </c>
    </row>
    <row r="19" spans="3:5" x14ac:dyDescent="0.25">
      <c r="C19" s="199" t="s">
        <v>676</v>
      </c>
      <c r="D19" s="200">
        <v>26200</v>
      </c>
      <c r="E19" s="199" t="s">
        <v>677</v>
      </c>
    </row>
    <row r="20" spans="3:5" x14ac:dyDescent="0.25">
      <c r="C20" s="5" t="s">
        <v>169</v>
      </c>
      <c r="D20" s="6">
        <v>50000</v>
      </c>
      <c r="E20" s="5" t="s">
        <v>170</v>
      </c>
    </row>
    <row r="21" spans="3:5" x14ac:dyDescent="0.25">
      <c r="C21" s="3" t="s">
        <v>175</v>
      </c>
      <c r="D21" s="4">
        <v>20425</v>
      </c>
      <c r="E21" s="3" t="s">
        <v>170</v>
      </c>
    </row>
    <row r="22" spans="3:5" x14ac:dyDescent="0.25">
      <c r="C22" s="5" t="s">
        <v>178</v>
      </c>
      <c r="D22" s="6">
        <v>1000</v>
      </c>
      <c r="E22" s="5" t="s">
        <v>170</v>
      </c>
    </row>
    <row r="23" spans="3:5" x14ac:dyDescent="0.25">
      <c r="C23" s="3" t="s">
        <v>172</v>
      </c>
      <c r="D23" s="4">
        <v>2000</v>
      </c>
      <c r="E23" s="3" t="s">
        <v>174</v>
      </c>
    </row>
    <row r="24" spans="3:5" x14ac:dyDescent="0.25">
      <c r="C24" s="5" t="s">
        <v>173</v>
      </c>
      <c r="D24" s="6">
        <v>25000</v>
      </c>
      <c r="E24" s="5" t="s">
        <v>170</v>
      </c>
    </row>
    <row r="25" spans="3:5" x14ac:dyDescent="0.25">
      <c r="C25" s="3" t="s">
        <v>171</v>
      </c>
      <c r="D25" s="4">
        <v>3400000</v>
      </c>
      <c r="E25" s="3" t="s">
        <v>170</v>
      </c>
    </row>
    <row r="26" spans="3:5" x14ac:dyDescent="0.25">
      <c r="C26" s="5" t="s">
        <v>179</v>
      </c>
      <c r="D26" s="6">
        <v>1000</v>
      </c>
      <c r="E26" s="5" t="s">
        <v>170</v>
      </c>
    </row>
  </sheetData>
  <sheetProtection algorithmName="SHA-512" hashValue="aq6uk32Z+wyNrmLzfVkeUcEwYI8UHt1B1wgAo1f+OFdAcL9V6+ItBf+dk5bPK3w0PXa6rYsMd+aSXxq51MCo/A==" saltValue="VgY9abpyr65nGUXKOTHLVw==" spinCount="100000" sheet="1" objects="1" scenarios="1" selectLockedCells="1"/>
  <pageMargins left="0.25" right="0.25" top="0.75" bottom="0.75" header="0.3" footer="0.3"/>
  <pageSetup scale="7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C69F6-94BA-40B6-A8F0-511D4ED695FF}">
  <dimension ref="A1:AS355"/>
  <sheetViews>
    <sheetView zoomScale="85" zoomScaleNormal="85" workbookViewId="0">
      <pane xSplit="2" ySplit="11" topLeftCell="C12" activePane="bottomRight" state="frozen"/>
      <selection pane="topRight" activeCell="C1" sqref="C1"/>
      <selection pane="bottomLeft" activeCell="A12" sqref="A12"/>
      <selection pane="bottomRight" activeCell="AG137" sqref="AG137"/>
    </sheetView>
  </sheetViews>
  <sheetFormatPr defaultColWidth="9.140625" defaultRowHeight="15" x14ac:dyDescent="0.25"/>
  <cols>
    <col min="1" max="1" width="9.140625" style="140"/>
    <col min="2" max="2" width="6.5703125" style="207" bestFit="1" customWidth="1"/>
    <col min="3" max="3" width="15.42578125" style="207" customWidth="1"/>
    <col min="4" max="4" width="16.140625" style="207" customWidth="1"/>
    <col min="5" max="5" width="13.28515625" style="207" customWidth="1"/>
    <col min="6" max="6" width="14.7109375" style="207" customWidth="1"/>
    <col min="7" max="7" width="16.140625" style="207" customWidth="1"/>
    <col min="8" max="8" width="18.5703125" style="207" customWidth="1"/>
    <col min="9" max="11" width="19" style="207" customWidth="1"/>
    <col min="12" max="12" width="15.140625" style="140" customWidth="1"/>
    <col min="13" max="13" width="12.7109375" style="140" customWidth="1"/>
    <col min="14" max="14" width="14.28515625" style="140" customWidth="1"/>
    <col min="15" max="17" width="14.5703125" style="140" customWidth="1"/>
    <col min="18" max="18" width="13.7109375" style="140" customWidth="1"/>
    <col min="19" max="19" width="15.5703125" style="140" customWidth="1"/>
    <col min="20" max="20" width="14.7109375" style="140" customWidth="1"/>
    <col min="21" max="21" width="17" style="140" customWidth="1"/>
    <col min="22" max="22" width="15.85546875" style="140" customWidth="1"/>
    <col min="23" max="23" width="17.140625" style="140" customWidth="1"/>
    <col min="24" max="24" width="19" style="140" customWidth="1"/>
    <col min="25" max="45" width="9.140625" style="140"/>
    <col min="46" max="16384" width="9.140625" style="207"/>
  </cols>
  <sheetData>
    <row r="1" spans="2:24" s="140" customFormat="1" x14ac:dyDescent="0.25"/>
    <row r="2" spans="2:24" s="140" customFormat="1" x14ac:dyDescent="0.25">
      <c r="D2" s="610" t="s">
        <v>147</v>
      </c>
      <c r="E2" s="610"/>
      <c r="F2" s="610"/>
      <c r="G2" s="332">
        <v>20</v>
      </c>
      <c r="J2" s="593" t="s">
        <v>779</v>
      </c>
      <c r="K2" s="594" t="s">
        <v>787</v>
      </c>
      <c r="L2" s="594"/>
      <c r="M2" s="594"/>
      <c r="N2" s="594"/>
      <c r="O2" s="594"/>
      <c r="P2" s="594"/>
      <c r="R2" s="289" t="s">
        <v>779</v>
      </c>
      <c r="S2" s="289" t="s">
        <v>325</v>
      </c>
    </row>
    <row r="3" spans="2:24" s="140" customFormat="1" x14ac:dyDescent="0.25">
      <c r="J3" s="593"/>
      <c r="K3" s="290" t="s">
        <v>780</v>
      </c>
      <c r="L3" s="290" t="s">
        <v>781</v>
      </c>
      <c r="M3" s="290" t="s">
        <v>782</v>
      </c>
      <c r="N3" s="290" t="s">
        <v>783</v>
      </c>
      <c r="O3" s="290" t="s">
        <v>784</v>
      </c>
      <c r="P3" s="290" t="s">
        <v>785</v>
      </c>
      <c r="R3" s="291" t="s">
        <v>672</v>
      </c>
      <c r="S3" s="295">
        <v>400</v>
      </c>
    </row>
    <row r="4" spans="2:24" s="140" customFormat="1" x14ac:dyDescent="0.25">
      <c r="J4" s="291" t="s">
        <v>672</v>
      </c>
      <c r="K4" s="295">
        <f>82+19</f>
        <v>101</v>
      </c>
      <c r="L4" s="295">
        <f>82+19</f>
        <v>101</v>
      </c>
      <c r="M4" s="295">
        <f>82+19</f>
        <v>101</v>
      </c>
      <c r="N4" s="295">
        <f>82+10</f>
        <v>92</v>
      </c>
      <c r="O4" s="295">
        <f>82+5</f>
        <v>87</v>
      </c>
      <c r="P4" s="295">
        <f>82+5</f>
        <v>87</v>
      </c>
      <c r="R4" s="292" t="s">
        <v>310</v>
      </c>
      <c r="S4" s="296">
        <v>1020</v>
      </c>
    </row>
    <row r="5" spans="2:24" s="140" customFormat="1" x14ac:dyDescent="0.25">
      <c r="J5" s="292" t="s">
        <v>310</v>
      </c>
      <c r="K5" s="296">
        <f>454+106</f>
        <v>560</v>
      </c>
      <c r="L5" s="296">
        <f>454+106</f>
        <v>560</v>
      </c>
      <c r="M5" s="296">
        <f>454+106</f>
        <v>560</v>
      </c>
      <c r="N5" s="296">
        <f>454+53</f>
        <v>507</v>
      </c>
      <c r="O5" s="296">
        <f>454+27</f>
        <v>481</v>
      </c>
      <c r="P5" s="296">
        <f>454+27</f>
        <v>481</v>
      </c>
      <c r="R5" s="291" t="s">
        <v>314</v>
      </c>
      <c r="S5" s="295">
        <v>2380</v>
      </c>
    </row>
    <row r="6" spans="2:24" s="140" customFormat="1" x14ac:dyDescent="0.25">
      <c r="J6" s="291" t="s">
        <v>314</v>
      </c>
      <c r="K6" s="295">
        <f>753+171</f>
        <v>924</v>
      </c>
      <c r="L6" s="295">
        <f>753+171</f>
        <v>924</v>
      </c>
      <c r="M6" s="295">
        <f>753+171</f>
        <v>924</v>
      </c>
      <c r="N6" s="295">
        <f>753+85</f>
        <v>838</v>
      </c>
      <c r="O6" s="295">
        <f>753+43</f>
        <v>796</v>
      </c>
      <c r="P6" s="295">
        <f>753+43</f>
        <v>796</v>
      </c>
      <c r="R6" s="292" t="s">
        <v>673</v>
      </c>
      <c r="S6" s="296">
        <v>2950</v>
      </c>
    </row>
    <row r="7" spans="2:24" s="140" customFormat="1" x14ac:dyDescent="0.25">
      <c r="J7" s="292" t="s">
        <v>673</v>
      </c>
      <c r="K7" s="296">
        <f>921+209</f>
        <v>1130</v>
      </c>
      <c r="L7" s="296">
        <f>921+209</f>
        <v>1130</v>
      </c>
      <c r="M7" s="296">
        <f>921+209</f>
        <v>1130</v>
      </c>
      <c r="N7" s="296">
        <f>921+104</f>
        <v>1025</v>
      </c>
      <c r="O7" s="296">
        <f>921+52</f>
        <v>973</v>
      </c>
      <c r="P7" s="296">
        <f>921+52</f>
        <v>973</v>
      </c>
      <c r="R7" s="291" t="s">
        <v>315</v>
      </c>
      <c r="S7" s="295">
        <v>3570</v>
      </c>
    </row>
    <row r="8" spans="2:24" s="140" customFormat="1" x14ac:dyDescent="0.25">
      <c r="J8" s="291" t="s">
        <v>315</v>
      </c>
      <c r="K8" s="295">
        <f>821+191</f>
        <v>1012</v>
      </c>
      <c r="L8" s="295">
        <f>821+191</f>
        <v>1012</v>
      </c>
      <c r="M8" s="295">
        <f>821+191</f>
        <v>1012</v>
      </c>
      <c r="N8" s="295">
        <f>821+96</f>
        <v>917</v>
      </c>
      <c r="O8" s="295">
        <f>821+48</f>
        <v>869</v>
      </c>
      <c r="P8" s="295">
        <f>821+46</f>
        <v>867</v>
      </c>
    </row>
    <row r="9" spans="2:24" s="140" customFormat="1" x14ac:dyDescent="0.25">
      <c r="M9" s="297"/>
    </row>
    <row r="10" spans="2:24" s="140" customFormat="1" x14ac:dyDescent="0.25">
      <c r="B10" s="611" t="s">
        <v>54</v>
      </c>
      <c r="C10" s="611"/>
      <c r="D10" s="611"/>
      <c r="E10" s="611"/>
      <c r="F10" s="611"/>
      <c r="G10" s="611"/>
      <c r="H10" s="611"/>
      <c r="I10" s="595" t="s">
        <v>60</v>
      </c>
      <c r="J10" s="596"/>
      <c r="K10" s="597"/>
      <c r="L10" s="601" t="s">
        <v>146</v>
      </c>
      <c r="M10" s="602" t="s">
        <v>774</v>
      </c>
      <c r="N10" s="602" t="s">
        <v>150</v>
      </c>
      <c r="O10" s="593" t="s">
        <v>151</v>
      </c>
      <c r="P10" s="593" t="s">
        <v>775</v>
      </c>
      <c r="Q10" s="593" t="s">
        <v>776</v>
      </c>
      <c r="R10" s="593" t="s">
        <v>153</v>
      </c>
      <c r="S10" s="593" t="s">
        <v>152</v>
      </c>
      <c r="T10" s="593" t="s">
        <v>777</v>
      </c>
      <c r="U10" s="593" t="s">
        <v>788</v>
      </c>
      <c r="V10" s="593" t="s">
        <v>789</v>
      </c>
      <c r="W10" s="601" t="s">
        <v>148</v>
      </c>
      <c r="X10" s="601" t="s">
        <v>149</v>
      </c>
    </row>
    <row r="11" spans="2:24" ht="45" x14ac:dyDescent="0.25">
      <c r="B11" s="298" t="s">
        <v>55</v>
      </c>
      <c r="C11" s="298" t="s">
        <v>56</v>
      </c>
      <c r="D11" s="298" t="s">
        <v>57</v>
      </c>
      <c r="E11" s="299" t="s">
        <v>58</v>
      </c>
      <c r="F11" s="299" t="s">
        <v>59</v>
      </c>
      <c r="G11" s="299" t="s">
        <v>54</v>
      </c>
      <c r="H11" s="299" t="s">
        <v>114</v>
      </c>
      <c r="I11" s="598"/>
      <c r="J11" s="599"/>
      <c r="K11" s="600"/>
      <c r="L11" s="601"/>
      <c r="M11" s="603"/>
      <c r="N11" s="603"/>
      <c r="O11" s="593"/>
      <c r="P11" s="593"/>
      <c r="Q11" s="593"/>
      <c r="R11" s="593"/>
      <c r="S11" s="593"/>
      <c r="T11" s="593"/>
      <c r="U11" s="593"/>
      <c r="V11" s="593"/>
      <c r="W11" s="601"/>
      <c r="X11" s="601"/>
    </row>
    <row r="12" spans="2:24" x14ac:dyDescent="0.25">
      <c r="B12" s="300"/>
      <c r="C12" s="300"/>
      <c r="D12" s="301"/>
      <c r="E12" s="300"/>
      <c r="F12" s="300"/>
      <c r="G12" s="300"/>
      <c r="H12" s="300"/>
      <c r="I12" s="302"/>
      <c r="J12" s="303"/>
      <c r="K12" s="304"/>
      <c r="L12" s="305"/>
      <c r="M12" s="306"/>
      <c r="N12" s="306"/>
      <c r="O12" s="306"/>
      <c r="P12" s="306"/>
      <c r="Q12" s="306"/>
      <c r="R12" s="306"/>
      <c r="S12" s="306"/>
      <c r="T12" s="306"/>
      <c r="U12" s="305"/>
      <c r="V12" s="305"/>
      <c r="W12" s="305"/>
      <c r="X12" s="305"/>
    </row>
    <row r="13" spans="2:24" x14ac:dyDescent="0.25">
      <c r="B13" s="307">
        <v>1</v>
      </c>
      <c r="C13" s="308">
        <f>('Startup Phase (1-4 months)'!M13/12)+('Startup Phase (1-4 months)'!M14/12)+('Startup Phase (1-4 months)'!M15/12)+('Startup Phase (1-4 months)'!M73/12)+('Startup Phase (1-4 months)'!M60)+('Startup Phase (1-4 months)'!M61)+('Startup Phase (1-4 months)'!M62)+('Startup Phase (1-4 months)'!M63)</f>
        <v>181240.88</v>
      </c>
      <c r="D13" s="309"/>
      <c r="E13" s="310"/>
      <c r="F13" s="310"/>
      <c r="G13" s="308">
        <f>SUM(C13:F13)</f>
        <v>181240.88</v>
      </c>
      <c r="H13" s="308">
        <f>G13</f>
        <v>181240.88</v>
      </c>
      <c r="I13" s="311"/>
      <c r="J13" s="312"/>
      <c r="K13" s="313"/>
      <c r="L13" s="308">
        <v>6000000</v>
      </c>
      <c r="M13" s="314"/>
      <c r="N13" s="314"/>
      <c r="O13" s="314"/>
      <c r="P13" s="314"/>
      <c r="Q13" s="314"/>
      <c r="R13" s="314"/>
      <c r="S13" s="314"/>
      <c r="T13" s="314"/>
      <c r="U13" s="308"/>
      <c r="V13" s="308"/>
      <c r="W13" s="308">
        <v>0</v>
      </c>
      <c r="X13" s="308">
        <f>(L13+W13)-G13-U13</f>
        <v>5818759.1200000001</v>
      </c>
    </row>
    <row r="14" spans="2:24" x14ac:dyDescent="0.25">
      <c r="B14" s="315">
        <f>B13+1</f>
        <v>2</v>
      </c>
      <c r="C14" s="316">
        <f>('Startup Phase (1-4 months)'!M13/12)+('Startup Phase (1-4 months)'!M14/12)+('Startup Phase (1-4 months)'!M15/12)+('Startup Phase (1-4 months)'!M73/12)+('Startup Phase (1-4 months)'!M78)</f>
        <v>1326240.8799999999</v>
      </c>
      <c r="D14" s="301"/>
      <c r="E14" s="317"/>
      <c r="F14" s="317"/>
      <c r="G14" s="316">
        <f>SUM(C14:F14)</f>
        <v>1326240.8799999999</v>
      </c>
      <c r="H14" s="316">
        <f>G14+H13</f>
        <v>1507481.7599999998</v>
      </c>
      <c r="I14" s="302"/>
      <c r="J14" s="303"/>
      <c r="K14" s="304"/>
      <c r="L14" s="316">
        <v>0</v>
      </c>
      <c r="M14" s="306"/>
      <c r="N14" s="306"/>
      <c r="O14" s="306"/>
      <c r="P14" s="306"/>
      <c r="Q14" s="306"/>
      <c r="R14" s="306"/>
      <c r="S14" s="306"/>
      <c r="T14" s="306"/>
      <c r="U14" s="316"/>
      <c r="V14" s="316"/>
      <c r="W14" s="316">
        <v>0</v>
      </c>
      <c r="X14" s="316">
        <f t="shared" ref="X14:X24" si="0">((X13+W14)-G14-U14)+L14</f>
        <v>4492518.24</v>
      </c>
    </row>
    <row r="15" spans="2:24" x14ac:dyDescent="0.25">
      <c r="B15" s="307">
        <f t="shared" ref="B15:B46" si="1">B14+1</f>
        <v>3</v>
      </c>
      <c r="C15" s="308">
        <f>('Startup Phase (1-4 months)'!M13/12)+('Startup Phase (1-4 months)'!M14/12)+('Startup Phase (1-4 months)'!M15/12)+('Startup Phase (1-4 months)'!M73/12)</f>
        <v>76240.87999999999</v>
      </c>
      <c r="D15" s="309"/>
      <c r="E15" s="310"/>
      <c r="F15" s="310"/>
      <c r="G15" s="308">
        <f t="shared" ref="G15:G78" si="2">SUM(C15:F15)</f>
        <v>76240.87999999999</v>
      </c>
      <c r="H15" s="308">
        <f t="shared" ref="H15:H78" si="3">G15+H14</f>
        <v>1583722.6399999997</v>
      </c>
      <c r="I15" s="311"/>
      <c r="J15" s="312"/>
      <c r="K15" s="313"/>
      <c r="L15" s="308">
        <v>0</v>
      </c>
      <c r="M15" s="314"/>
      <c r="N15" s="314"/>
      <c r="O15" s="314"/>
      <c r="P15" s="314"/>
      <c r="Q15" s="314"/>
      <c r="R15" s="314"/>
      <c r="S15" s="314"/>
      <c r="T15" s="314"/>
      <c r="U15" s="308"/>
      <c r="V15" s="308"/>
      <c r="W15" s="308">
        <v>0</v>
      </c>
      <c r="X15" s="308">
        <f t="shared" si="0"/>
        <v>4416277.3600000003</v>
      </c>
    </row>
    <row r="16" spans="2:24" ht="15" customHeight="1" x14ac:dyDescent="0.25">
      <c r="B16" s="315">
        <f t="shared" si="1"/>
        <v>4</v>
      </c>
      <c r="C16" s="316">
        <f>((SUM('Startup Phase (1-4 months)'!M12:M23))/12)+('Startup Phase (1-4 months)'!M73/12)+('Startup Phase (1-4 months)'!M64/12)+('Startup Phase (1-4 months)'!M68)</f>
        <v>445762.98333333328</v>
      </c>
      <c r="D16" s="301"/>
      <c r="E16" s="317"/>
      <c r="F16" s="317"/>
      <c r="G16" s="316">
        <f t="shared" si="2"/>
        <v>445762.98333333328</v>
      </c>
      <c r="H16" s="316">
        <f t="shared" si="3"/>
        <v>2029485.6233333331</v>
      </c>
      <c r="I16" s="302"/>
      <c r="J16" s="303"/>
      <c r="K16" s="304"/>
      <c r="L16" s="316">
        <v>0</v>
      </c>
      <c r="M16" s="306"/>
      <c r="N16" s="306"/>
      <c r="O16" s="306"/>
      <c r="P16" s="306"/>
      <c r="Q16" s="306"/>
      <c r="R16" s="306"/>
      <c r="S16" s="306"/>
      <c r="T16" s="306"/>
      <c r="U16" s="316"/>
      <c r="V16" s="316"/>
      <c r="W16" s="316">
        <v>0</v>
      </c>
      <c r="X16" s="316">
        <f t="shared" si="0"/>
        <v>3970514.3766666669</v>
      </c>
    </row>
    <row r="17" spans="2:39" x14ac:dyDescent="0.25">
      <c r="B17" s="307">
        <f t="shared" si="1"/>
        <v>5</v>
      </c>
      <c r="C17" s="308">
        <f>('Startup Phase (1-4 months)'!M73/12)+('Startup Phase (1-4 months)'!M64/12)+((SUM('Startup Phase (1-4 months)'!M13:M22))/12)+('Startup Phase (1-4 months)'!M38)+('Startup Phase (1-4 months)'!M50)</f>
        <v>1539262.9833333334</v>
      </c>
      <c r="D17" s="318">
        <f>(('Beta Phase (5-8 months)'!M19)/12)+('Beta Phase (5-8 months)'!M65)</f>
        <v>157213.34166666667</v>
      </c>
      <c r="E17" s="310"/>
      <c r="F17" s="310"/>
      <c r="G17" s="308">
        <f t="shared" si="2"/>
        <v>1696476.3250000002</v>
      </c>
      <c r="H17" s="308">
        <f t="shared" si="3"/>
        <v>3725961.9483333332</v>
      </c>
      <c r="I17" s="311"/>
      <c r="J17" s="312"/>
      <c r="K17" s="313"/>
      <c r="L17" s="308">
        <v>0</v>
      </c>
      <c r="M17" s="314"/>
      <c r="N17" s="314"/>
      <c r="O17" s="314"/>
      <c r="P17" s="314"/>
      <c r="Q17" s="314"/>
      <c r="R17" s="314"/>
      <c r="S17" s="314"/>
      <c r="T17" s="314"/>
      <c r="U17" s="308"/>
      <c r="V17" s="308"/>
      <c r="W17" s="308">
        <v>0</v>
      </c>
      <c r="X17" s="308">
        <f t="shared" si="0"/>
        <v>2274038.0516666668</v>
      </c>
      <c r="AG17" s="591"/>
      <c r="AH17" s="592"/>
      <c r="AI17" s="592"/>
      <c r="AJ17" s="592"/>
      <c r="AK17" s="592"/>
      <c r="AL17" s="592"/>
      <c r="AM17" s="592"/>
    </row>
    <row r="18" spans="2:39" x14ac:dyDescent="0.25">
      <c r="B18" s="315">
        <f t="shared" si="1"/>
        <v>6</v>
      </c>
      <c r="C18" s="316">
        <f>('Startup Phase (1-4 months)'!M73/12)+('Startup Phase (1-4 months)'!M64/12)+((SUM('Startup Phase (1-4 months)'!M12:M23))/12)</f>
        <v>195762.98333333331</v>
      </c>
      <c r="D18" s="319">
        <f>(('Beta Phase (5-8 months)'!M19)/12)+('Beta Phase (5-8 months)'!M41)</f>
        <v>367213.34166666667</v>
      </c>
      <c r="E18" s="317"/>
      <c r="F18" s="317"/>
      <c r="G18" s="316">
        <f t="shared" si="2"/>
        <v>562976.32499999995</v>
      </c>
      <c r="H18" s="316">
        <f t="shared" si="3"/>
        <v>4288938.2733333334</v>
      </c>
      <c r="I18" s="302"/>
      <c r="J18" s="303"/>
      <c r="K18" s="304"/>
      <c r="L18" s="316">
        <v>0</v>
      </c>
      <c r="M18" s="306"/>
      <c r="N18" s="306"/>
      <c r="O18" s="306"/>
      <c r="P18" s="306"/>
      <c r="Q18" s="306"/>
      <c r="R18" s="306"/>
      <c r="S18" s="306"/>
      <c r="T18" s="306"/>
      <c r="U18" s="316"/>
      <c r="V18" s="316"/>
      <c r="W18" s="316">
        <v>0</v>
      </c>
      <c r="X18" s="316">
        <f t="shared" si="0"/>
        <v>1711061.7266666668</v>
      </c>
      <c r="AG18" s="591"/>
      <c r="AH18" s="293"/>
      <c r="AI18" s="293"/>
      <c r="AJ18" s="293"/>
      <c r="AK18" s="293"/>
      <c r="AL18" s="293"/>
      <c r="AM18" s="293"/>
    </row>
    <row r="19" spans="2:39" x14ac:dyDescent="0.25">
      <c r="B19" s="307">
        <f t="shared" si="1"/>
        <v>7</v>
      </c>
      <c r="C19" s="308">
        <f>('Startup Phase (1-4 months)'!M73/12)+('Startup Phase (1-4 months)'!M64/12)+((SUM('Startup Phase (1-4 months)'!M12:M23))/12)</f>
        <v>195762.98333333331</v>
      </c>
      <c r="D19" s="318">
        <f>(('Beta Phase (5-8 months)'!M19)/12)+('Beta Phase (5-8 months)'!M44)</f>
        <v>232213.34166666667</v>
      </c>
      <c r="E19" s="310"/>
      <c r="F19" s="310"/>
      <c r="G19" s="308">
        <f t="shared" si="2"/>
        <v>427976.32499999995</v>
      </c>
      <c r="H19" s="308">
        <f t="shared" si="3"/>
        <v>4716914.5983333336</v>
      </c>
      <c r="I19" s="311"/>
      <c r="J19" s="312"/>
      <c r="K19" s="313"/>
      <c r="L19" s="308">
        <v>0</v>
      </c>
      <c r="M19" s="314"/>
      <c r="N19" s="314"/>
      <c r="O19" s="314"/>
      <c r="P19" s="314"/>
      <c r="Q19" s="314"/>
      <c r="R19" s="314"/>
      <c r="S19" s="314"/>
      <c r="T19" s="314"/>
      <c r="U19" s="308"/>
      <c r="V19" s="308"/>
      <c r="W19" s="308">
        <v>0</v>
      </c>
      <c r="X19" s="308">
        <f t="shared" si="0"/>
        <v>1283085.4016666668</v>
      </c>
      <c r="AG19" s="293"/>
      <c r="AH19" s="294"/>
      <c r="AI19" s="294"/>
      <c r="AJ19" s="294"/>
      <c r="AK19" s="294"/>
      <c r="AL19" s="294"/>
      <c r="AM19" s="294"/>
    </row>
    <row r="20" spans="2:39" x14ac:dyDescent="0.25">
      <c r="B20" s="315">
        <f t="shared" si="1"/>
        <v>8</v>
      </c>
      <c r="C20" s="316">
        <f>('Startup Phase (1-4 months)'!M73/12)+('Startup Phase (1-4 months)'!M64/12)+((SUM('Startup Phase (1-4 months)'!M12:M23))/12)</f>
        <v>195762.98333333331</v>
      </c>
      <c r="D20" s="319">
        <f>(('Beta Phase (5-8 months)'!M19)/12)</f>
        <v>57213.341666666667</v>
      </c>
      <c r="E20" s="317"/>
      <c r="F20" s="317"/>
      <c r="G20" s="316">
        <f t="shared" si="2"/>
        <v>252976.32499999998</v>
      </c>
      <c r="H20" s="316">
        <f t="shared" si="3"/>
        <v>4969890.9233333338</v>
      </c>
      <c r="I20" s="302"/>
      <c r="J20" s="303"/>
      <c r="K20" s="304"/>
      <c r="L20" s="316">
        <v>0</v>
      </c>
      <c r="M20" s="306"/>
      <c r="N20" s="306"/>
      <c r="O20" s="306"/>
      <c r="P20" s="306"/>
      <c r="Q20" s="306"/>
      <c r="R20" s="306"/>
      <c r="S20" s="306"/>
      <c r="T20" s="306"/>
      <c r="U20" s="316"/>
      <c r="V20" s="316"/>
      <c r="W20" s="316">
        <v>0</v>
      </c>
      <c r="X20" s="316">
        <f t="shared" si="0"/>
        <v>1030109.0766666669</v>
      </c>
      <c r="AG20" s="293"/>
      <c r="AH20" s="294"/>
      <c r="AI20" s="294"/>
      <c r="AJ20" s="294"/>
      <c r="AK20" s="294"/>
      <c r="AL20" s="294"/>
      <c r="AM20" s="294"/>
    </row>
    <row r="21" spans="2:39" x14ac:dyDescent="0.25">
      <c r="B21" s="307">
        <f t="shared" si="1"/>
        <v>9</v>
      </c>
      <c r="C21" s="308">
        <f>('Startup Phase (1-4 months)'!M73/12)+('Startup Phase (1-4 months)'!M64/12)+((SUM('Startup Phase (1-4 months)'!M12:M23))/12)</f>
        <v>195762.98333333331</v>
      </c>
      <c r="D21" s="318">
        <f>(('Beta Phase (5-8 months)'!M19)/12)+('Beta Phase (5-8 months)'!M41)</f>
        <v>367213.34166666667</v>
      </c>
      <c r="E21" s="308">
        <f>(('Prod Ready phase (9-12 months)'!M23)/12)+('Prod Ready phase (9-12 months)'!M27)</f>
        <v>199687.76333333334</v>
      </c>
      <c r="F21" s="310"/>
      <c r="G21" s="308">
        <f t="shared" si="2"/>
        <v>762664.08833333326</v>
      </c>
      <c r="H21" s="308">
        <f t="shared" si="3"/>
        <v>5732555.0116666667</v>
      </c>
      <c r="I21" s="311"/>
      <c r="J21" s="312"/>
      <c r="K21" s="313"/>
      <c r="L21" s="308">
        <v>0</v>
      </c>
      <c r="M21" s="314"/>
      <c r="N21" s="314"/>
      <c r="O21" s="314"/>
      <c r="P21" s="314"/>
      <c r="Q21" s="314"/>
      <c r="R21" s="314"/>
      <c r="S21" s="314"/>
      <c r="T21" s="314"/>
      <c r="U21" s="308"/>
      <c r="V21" s="308"/>
      <c r="W21" s="308">
        <v>0</v>
      </c>
      <c r="X21" s="308">
        <f t="shared" si="0"/>
        <v>267444.98833333363</v>
      </c>
      <c r="AG21" s="293"/>
      <c r="AH21" s="294"/>
      <c r="AI21" s="294"/>
      <c r="AJ21" s="294"/>
      <c r="AK21" s="294"/>
      <c r="AL21" s="294"/>
      <c r="AM21" s="294"/>
    </row>
    <row r="22" spans="2:39" x14ac:dyDescent="0.25">
      <c r="B22" s="315">
        <f t="shared" si="1"/>
        <v>10</v>
      </c>
      <c r="C22" s="316">
        <f>('Startup Phase (1-4 months)'!M73/12)+('Startup Phase (1-4 months)'!M64/12)+((SUM('Startup Phase (1-4 months)'!M12:M23))/12)</f>
        <v>195762.98333333331</v>
      </c>
      <c r="D22" s="319">
        <f>(('Beta Phase (5-8 months)'!M19)/12)</f>
        <v>57213.341666666667</v>
      </c>
      <c r="E22" s="316">
        <f>(('Prod Ready phase (9-12 months)'!M23)/12)</f>
        <v>84687.763333333336</v>
      </c>
      <c r="F22" s="317"/>
      <c r="G22" s="316">
        <f t="shared" si="2"/>
        <v>337664.08833333332</v>
      </c>
      <c r="H22" s="316">
        <f t="shared" si="3"/>
        <v>6070219.0999999996</v>
      </c>
      <c r="I22" s="607" t="s">
        <v>1248</v>
      </c>
      <c r="J22" s="608"/>
      <c r="K22" s="609"/>
      <c r="L22" s="316">
        <v>0</v>
      </c>
      <c r="M22" s="306">
        <v>0</v>
      </c>
      <c r="N22" s="306">
        <v>0</v>
      </c>
      <c r="O22" s="306">
        <v>30</v>
      </c>
      <c r="P22" s="306">
        <v>0</v>
      </c>
      <c r="Q22" s="306">
        <v>0</v>
      </c>
      <c r="R22" s="306">
        <v>0</v>
      </c>
      <c r="S22" s="306">
        <f t="shared" ref="S22" si="4">O22*$G$2</f>
        <v>600</v>
      </c>
      <c r="T22" s="306">
        <f t="shared" ref="T22" si="5">P22*$G$2</f>
        <v>0</v>
      </c>
      <c r="U22" s="316">
        <f t="shared" ref="U22" si="6">(Q22*$K$4)+(R22*$K$5)+(S22*$K$6)+(T22*$K$7)</f>
        <v>554400</v>
      </c>
      <c r="V22" s="316">
        <f t="shared" ref="V22" si="7">V21+U22</f>
        <v>554400</v>
      </c>
      <c r="W22" s="316">
        <f t="shared" ref="W22" si="8">(Q22*$S$3)+(R22*$S$4)+(S22*$S$5)+(T22*$S$6)</f>
        <v>1428000</v>
      </c>
      <c r="X22" s="316">
        <f t="shared" si="0"/>
        <v>803380.90000000037</v>
      </c>
      <c r="AG22" s="293"/>
      <c r="AH22" s="294"/>
      <c r="AI22" s="294"/>
      <c r="AJ22" s="294"/>
      <c r="AK22" s="294"/>
      <c r="AL22" s="294"/>
      <c r="AM22" s="294"/>
    </row>
    <row r="23" spans="2:39" x14ac:dyDescent="0.25">
      <c r="B23" s="307">
        <f t="shared" si="1"/>
        <v>11</v>
      </c>
      <c r="C23" s="308">
        <f>('Startup Phase (1-4 months)'!M73/12)+('Startup Phase (1-4 months)'!M64/12)+((SUM('Startup Phase (1-4 months)'!M12:M23))/12)</f>
        <v>195762.98333333331</v>
      </c>
      <c r="D23" s="318">
        <f>(('Beta Phase (5-8 months)'!M19)/12)</f>
        <v>57213.341666666667</v>
      </c>
      <c r="E23" s="308">
        <f>(('Prod Ready phase (9-12 months)'!M23)/12)</f>
        <v>84687.763333333336</v>
      </c>
      <c r="F23" s="320"/>
      <c r="G23" s="308">
        <f t="shared" si="2"/>
        <v>337664.08833333332</v>
      </c>
      <c r="H23" s="308">
        <f t="shared" si="3"/>
        <v>6407883.1883333325</v>
      </c>
      <c r="I23" s="604"/>
      <c r="J23" s="605"/>
      <c r="K23" s="606"/>
      <c r="L23" s="308">
        <v>0</v>
      </c>
      <c r="M23" s="314">
        <v>0</v>
      </c>
      <c r="N23" s="314">
        <v>0</v>
      </c>
      <c r="O23" s="314">
        <v>30</v>
      </c>
      <c r="P23" s="314">
        <v>0</v>
      </c>
      <c r="Q23" s="314">
        <v>0</v>
      </c>
      <c r="R23" s="314">
        <v>0</v>
      </c>
      <c r="S23" s="314">
        <f t="shared" ref="S23" si="9">O23*$G$2</f>
        <v>600</v>
      </c>
      <c r="T23" s="314">
        <f t="shared" ref="T23" si="10">P23*$G$2</f>
        <v>0</v>
      </c>
      <c r="U23" s="308">
        <f t="shared" ref="U23" si="11">(Q23*$K$4)+(R23*$K$5)+(S23*$K$6)+(T23*$K$7)</f>
        <v>554400</v>
      </c>
      <c r="V23" s="308">
        <f t="shared" ref="V23" si="12">V22+U23</f>
        <v>1108800</v>
      </c>
      <c r="W23" s="308">
        <f t="shared" ref="W23" si="13">(Q23*$S$3)+(R23*$S$4)+(S23*$S$5)+(T23*$S$6)</f>
        <v>1428000</v>
      </c>
      <c r="X23" s="308">
        <f t="shared" si="0"/>
        <v>1339316.811666667</v>
      </c>
      <c r="AG23" s="293"/>
      <c r="AH23" s="294"/>
      <c r="AI23" s="294"/>
      <c r="AJ23" s="294"/>
      <c r="AK23" s="294"/>
      <c r="AL23" s="294"/>
      <c r="AM23" s="294"/>
    </row>
    <row r="24" spans="2:39" x14ac:dyDescent="0.25">
      <c r="B24" s="315">
        <f t="shared" si="1"/>
        <v>12</v>
      </c>
      <c r="C24" s="316">
        <f>('Startup Phase (1-4 months)'!M73/12)+('Startup Phase (1-4 months)'!M64/12)+((SUM('Startup Phase (1-4 months)'!M12:M23))/12)</f>
        <v>195762.98333333331</v>
      </c>
      <c r="D24" s="319">
        <f>(('Beta Phase (5-8 months)'!M19)/12)+('Beta Phase (5-8 months)'!M41)</f>
        <v>367213.34166666667</v>
      </c>
      <c r="E24" s="316">
        <f>(('Prod Ready phase (9-12 months)'!M23)/12)</f>
        <v>84687.763333333336</v>
      </c>
      <c r="F24" s="317"/>
      <c r="G24" s="316">
        <f t="shared" si="2"/>
        <v>647664.08833333326</v>
      </c>
      <c r="H24" s="316">
        <f t="shared" si="3"/>
        <v>7055547.2766666654</v>
      </c>
      <c r="I24" s="607"/>
      <c r="J24" s="608"/>
      <c r="K24" s="609"/>
      <c r="L24" s="316">
        <v>0</v>
      </c>
      <c r="M24" s="306">
        <v>0</v>
      </c>
      <c r="N24" s="306">
        <v>0</v>
      </c>
      <c r="O24" s="306">
        <v>40</v>
      </c>
      <c r="P24" s="306">
        <v>0</v>
      </c>
      <c r="Q24" s="306">
        <v>0</v>
      </c>
      <c r="R24" s="306">
        <v>0</v>
      </c>
      <c r="S24" s="306">
        <f t="shared" ref="S24" si="14">O24*$G$2</f>
        <v>800</v>
      </c>
      <c r="T24" s="306">
        <f t="shared" ref="T24" si="15">P24*$G$2</f>
        <v>0</v>
      </c>
      <c r="U24" s="316">
        <f t="shared" ref="U24" si="16">(Q24*$K$4)+(R24*$K$5)+(S24*$K$6)+(T24*$K$7)</f>
        <v>739200</v>
      </c>
      <c r="V24" s="316">
        <f t="shared" ref="V24" si="17">V23+U24</f>
        <v>1848000</v>
      </c>
      <c r="W24" s="316">
        <f t="shared" ref="W24" si="18">(Q24*$S$3)+(R24*$S$4)+(S24*$S$5)+(T24*$S$6)</f>
        <v>1904000</v>
      </c>
      <c r="X24" s="316">
        <f t="shared" si="0"/>
        <v>1856452.7233333336</v>
      </c>
    </row>
    <row r="25" spans="2:39" x14ac:dyDescent="0.25">
      <c r="B25" s="307">
        <f t="shared" si="1"/>
        <v>13</v>
      </c>
      <c r="C25" s="308">
        <f>((SUM('Startup Phase (1-4 months)'!M12:M23))/12)+('Startup Phase (1-4 months)'!M73/12)+('Startup Phase (1-4 months)'!M60)+('Startup Phase (1-4 months)'!M61)+('Startup Phase (1-4 months)'!M62)+('Startup Phase (1-4 months)'!M63)+('Startup Phase (1-4 months)'!M64/12)</f>
        <v>300762.98333333328</v>
      </c>
      <c r="D25" s="318">
        <f>(('Beta Phase (5-8 months)'!M19)/12)</f>
        <v>57213.341666666667</v>
      </c>
      <c r="E25" s="308">
        <f>(('Prod Ready phase (9-12 months)'!M23)/12)</f>
        <v>84687.763333333336</v>
      </c>
      <c r="F25" s="308">
        <f>'Beyond 12 months phase'!M19</f>
        <v>175000</v>
      </c>
      <c r="G25" s="308">
        <f t="shared" si="2"/>
        <v>617664.08833333326</v>
      </c>
      <c r="H25" s="308">
        <f t="shared" si="3"/>
        <v>7673211.3649999984</v>
      </c>
      <c r="I25" s="604" t="s">
        <v>786</v>
      </c>
      <c r="J25" s="605"/>
      <c r="K25" s="606"/>
      <c r="L25" s="308">
        <v>0</v>
      </c>
      <c r="M25" s="314">
        <v>0</v>
      </c>
      <c r="N25" s="314">
        <v>0</v>
      </c>
      <c r="O25" s="314">
        <v>50</v>
      </c>
      <c r="P25" s="314">
        <v>0</v>
      </c>
      <c r="Q25" s="314">
        <v>0</v>
      </c>
      <c r="R25" s="314">
        <v>0</v>
      </c>
      <c r="S25" s="314">
        <f t="shared" ref="S25:S26" si="19">O25*$G$2</f>
        <v>1000</v>
      </c>
      <c r="T25" s="314">
        <f t="shared" ref="Q25:T29" si="20">P25*$G$2</f>
        <v>0</v>
      </c>
      <c r="U25" s="308">
        <f>(Q25*$L$4)+(R25*$L$5)+(S25*$L$6)+(T25*LK$7)</f>
        <v>924000</v>
      </c>
      <c r="V25" s="308">
        <f t="shared" ref="V25:V27" si="21">V24+U25</f>
        <v>2772000</v>
      </c>
      <c r="W25" s="308">
        <f t="shared" ref="W25:W26" si="22">(Q25*$S$3)+(R25*$S$4)+(S25*$S$5)+(T25*$S$6)</f>
        <v>2380000</v>
      </c>
      <c r="X25" s="308">
        <f>((X24+W25)-G25)+L25</f>
        <v>3618788.6350000002</v>
      </c>
    </row>
    <row r="26" spans="2:39" x14ac:dyDescent="0.25">
      <c r="B26" s="315">
        <f t="shared" si="1"/>
        <v>14</v>
      </c>
      <c r="C26" s="316">
        <f>((SUM('Startup Phase (1-4 months)'!M12:M23))/12)+('Startup Phase (1-4 months)'!M73/12)+('Startup Phase (1-4 months)'!M64/12)</f>
        <v>195762.98333333331</v>
      </c>
      <c r="D26" s="319">
        <f>(('Beta Phase (5-8 months)'!M19)/12)</f>
        <v>57213.341666666667</v>
      </c>
      <c r="E26" s="316">
        <f>(('Prod Ready phase (9-12 months)'!M23)/12)</f>
        <v>84687.763333333336</v>
      </c>
      <c r="F26" s="316"/>
      <c r="G26" s="316">
        <f t="shared" si="2"/>
        <v>337664.08833333332</v>
      </c>
      <c r="H26" s="316">
        <f t="shared" si="3"/>
        <v>8010875.4533333313</v>
      </c>
      <c r="I26" s="302"/>
      <c r="J26" s="303"/>
      <c r="K26" s="304"/>
      <c r="L26" s="316">
        <v>0</v>
      </c>
      <c r="M26" s="306">
        <v>0</v>
      </c>
      <c r="N26" s="306">
        <v>0</v>
      </c>
      <c r="O26" s="306">
        <v>50</v>
      </c>
      <c r="P26" s="306">
        <v>0</v>
      </c>
      <c r="Q26" s="306">
        <v>0</v>
      </c>
      <c r="R26" s="306">
        <v>0</v>
      </c>
      <c r="S26" s="306">
        <f t="shared" si="19"/>
        <v>1000</v>
      </c>
      <c r="T26" s="306">
        <f t="shared" si="20"/>
        <v>0</v>
      </c>
      <c r="U26" s="316">
        <f t="shared" ref="U26:U36" si="23">(Q26*$L$4)+(R26*$L$5)+(S26*$L$6)+(T26*LK$7)</f>
        <v>924000</v>
      </c>
      <c r="V26" s="316">
        <f t="shared" si="21"/>
        <v>3696000</v>
      </c>
      <c r="W26" s="316">
        <f t="shared" si="22"/>
        <v>2380000</v>
      </c>
      <c r="X26" s="316">
        <f>((X25+W26)-G26)+L26</f>
        <v>5661124.5466666669</v>
      </c>
    </row>
    <row r="27" spans="2:39" x14ac:dyDescent="0.25">
      <c r="B27" s="307">
        <f t="shared" si="1"/>
        <v>15</v>
      </c>
      <c r="C27" s="308">
        <f>((SUM('Startup Phase (1-4 months)'!M12:M23))/12)+('Startup Phase (1-4 months)'!M73/12)+('Startup Phase (1-4 months)'!M64/12)</f>
        <v>195762.98333333331</v>
      </c>
      <c r="D27" s="318">
        <f>(('Beta Phase (5-8 months)'!M19)/12)+('Beta Phase (5-8 months)'!M41)</f>
        <v>367213.34166666667</v>
      </c>
      <c r="E27" s="308">
        <f>(('Prod Ready phase (9-12 months)'!M23)/12)</f>
        <v>84687.763333333336</v>
      </c>
      <c r="F27" s="308"/>
      <c r="G27" s="308">
        <f t="shared" si="2"/>
        <v>647664.08833333326</v>
      </c>
      <c r="H27" s="308">
        <f t="shared" si="3"/>
        <v>8658539.5416666642</v>
      </c>
      <c r="I27" s="604"/>
      <c r="J27" s="605"/>
      <c r="K27" s="606"/>
      <c r="L27" s="308">
        <v>0</v>
      </c>
      <c r="M27" s="314">
        <v>0</v>
      </c>
      <c r="N27" s="314">
        <v>0</v>
      </c>
      <c r="O27" s="314">
        <v>50</v>
      </c>
      <c r="P27" s="314">
        <v>0</v>
      </c>
      <c r="Q27" s="314">
        <f t="shared" si="20"/>
        <v>0</v>
      </c>
      <c r="R27" s="314">
        <f t="shared" si="20"/>
        <v>0</v>
      </c>
      <c r="S27" s="314">
        <f>O27*$G$2</f>
        <v>1000</v>
      </c>
      <c r="T27" s="314">
        <f t="shared" si="20"/>
        <v>0</v>
      </c>
      <c r="U27" s="308">
        <f t="shared" si="23"/>
        <v>924000</v>
      </c>
      <c r="V27" s="308">
        <f t="shared" si="21"/>
        <v>4620000</v>
      </c>
      <c r="W27" s="308">
        <f>(Q27*$S$3)+(R27*$S$4)+(S27*$S$5)+(T27*$S$6)</f>
        <v>2380000</v>
      </c>
      <c r="X27" s="308">
        <f>((X26+W27)-G27)+L27</f>
        <v>7393460.458333334</v>
      </c>
    </row>
    <row r="28" spans="2:39" x14ac:dyDescent="0.25">
      <c r="B28" s="315">
        <f t="shared" si="1"/>
        <v>16</v>
      </c>
      <c r="C28" s="316">
        <f>((SUM('Startup Phase (1-4 months)'!M12:M23))/12)+('Startup Phase (1-4 months)'!M73/12)+('Startup Phase (1-4 months)'!M64/12)</f>
        <v>195762.98333333331</v>
      </c>
      <c r="D28" s="319">
        <f>(('Beta Phase (5-8 months)'!M19)/12)</f>
        <v>57213.341666666667</v>
      </c>
      <c r="E28" s="316">
        <f>(('Prod Ready phase (9-12 months)'!M23)/12)</f>
        <v>84687.763333333336</v>
      </c>
      <c r="F28" s="316"/>
      <c r="G28" s="316">
        <f t="shared" si="2"/>
        <v>337664.08833333332</v>
      </c>
      <c r="H28" s="316">
        <f t="shared" si="3"/>
        <v>8996203.6299999971</v>
      </c>
      <c r="I28" s="302"/>
      <c r="J28" s="303"/>
      <c r="K28" s="304"/>
      <c r="L28" s="316">
        <v>0</v>
      </c>
      <c r="M28" s="306">
        <v>0</v>
      </c>
      <c r="N28" s="306">
        <v>0</v>
      </c>
      <c r="O28" s="306">
        <v>50</v>
      </c>
      <c r="P28" s="306">
        <v>0</v>
      </c>
      <c r="Q28" s="306">
        <f t="shared" si="20"/>
        <v>0</v>
      </c>
      <c r="R28" s="306">
        <f t="shared" si="20"/>
        <v>0</v>
      </c>
      <c r="S28" s="306">
        <f t="shared" si="20"/>
        <v>1000</v>
      </c>
      <c r="T28" s="306">
        <f t="shared" si="20"/>
        <v>0</v>
      </c>
      <c r="U28" s="316">
        <f t="shared" si="23"/>
        <v>924000</v>
      </c>
      <c r="V28" s="316">
        <f t="shared" ref="V28:V29" si="24">V27+U28</f>
        <v>5544000</v>
      </c>
      <c r="W28" s="316">
        <f t="shared" ref="W28:W29" si="25">(Q28*$S$3)+(R28*$S$4)+(S28*$S$5)+(T28*$S$6)</f>
        <v>2380000</v>
      </c>
      <c r="X28" s="316">
        <f>((X27+W28)-G28)+L28</f>
        <v>9435796.370000001</v>
      </c>
    </row>
    <row r="29" spans="2:39" x14ac:dyDescent="0.25">
      <c r="B29" s="307">
        <f t="shared" si="1"/>
        <v>17</v>
      </c>
      <c r="C29" s="308">
        <f>((SUM('Startup Phase (1-4 months)'!M12:M23))/12)+('Startup Phase (1-4 months)'!M73/12)</f>
        <v>158262.98333333331</v>
      </c>
      <c r="D29" s="318">
        <f>(('Beta Phase (5-8 months)'!M19)/12)</f>
        <v>57213.341666666667</v>
      </c>
      <c r="E29" s="308">
        <f>(('Prod Ready phase (9-12 months)'!M23)/12)</f>
        <v>84687.763333333336</v>
      </c>
      <c r="F29" s="308"/>
      <c r="G29" s="308">
        <f t="shared" si="2"/>
        <v>300164.08833333332</v>
      </c>
      <c r="H29" s="308">
        <f t="shared" si="3"/>
        <v>9296367.71833333</v>
      </c>
      <c r="I29" s="311"/>
      <c r="J29" s="312"/>
      <c r="K29" s="313"/>
      <c r="L29" s="308">
        <v>0</v>
      </c>
      <c r="M29" s="314">
        <v>0</v>
      </c>
      <c r="N29" s="314">
        <v>0</v>
      </c>
      <c r="O29" s="314">
        <v>50</v>
      </c>
      <c r="P29" s="314">
        <v>0</v>
      </c>
      <c r="Q29" s="314">
        <f t="shared" si="20"/>
        <v>0</v>
      </c>
      <c r="R29" s="314">
        <f t="shared" si="20"/>
        <v>0</v>
      </c>
      <c r="S29" s="314">
        <f t="shared" si="20"/>
        <v>1000</v>
      </c>
      <c r="T29" s="314">
        <f t="shared" si="20"/>
        <v>0</v>
      </c>
      <c r="U29" s="308">
        <f t="shared" si="23"/>
        <v>924000</v>
      </c>
      <c r="V29" s="308">
        <f t="shared" si="24"/>
        <v>6468000</v>
      </c>
      <c r="W29" s="308">
        <f t="shared" si="25"/>
        <v>2380000</v>
      </c>
      <c r="X29" s="308">
        <f>((X28+W29)-G29)+L29</f>
        <v>11515632.281666668</v>
      </c>
    </row>
    <row r="30" spans="2:39" x14ac:dyDescent="0.25">
      <c r="B30" s="315">
        <f t="shared" si="1"/>
        <v>18</v>
      </c>
      <c r="C30" s="316">
        <f>((SUM('Startup Phase (1-4 months)'!M12:M23))/12)+('Startup Phase (1-4 months)'!M73/12)</f>
        <v>158262.98333333331</v>
      </c>
      <c r="D30" s="319">
        <f>(('Beta Phase (5-8 months)'!M19)/12)+('Beta Phase (5-8 months)'!M41)</f>
        <v>367213.34166666667</v>
      </c>
      <c r="E30" s="316">
        <f>(('Prod Ready phase (9-12 months)'!M23)/12)</f>
        <v>84687.763333333336</v>
      </c>
      <c r="F30" s="316"/>
      <c r="G30" s="316">
        <f t="shared" si="2"/>
        <v>610164.08833333326</v>
      </c>
      <c r="H30" s="316">
        <f t="shared" si="3"/>
        <v>9906531.8066666629</v>
      </c>
      <c r="I30" s="607"/>
      <c r="J30" s="608"/>
      <c r="K30" s="609"/>
      <c r="L30" s="316">
        <v>0</v>
      </c>
      <c r="M30" s="306">
        <v>0</v>
      </c>
      <c r="N30" s="306">
        <v>0</v>
      </c>
      <c r="O30" s="306">
        <v>50</v>
      </c>
      <c r="P30" s="306">
        <v>0</v>
      </c>
      <c r="Q30" s="306">
        <f t="shared" ref="Q30:Q36" si="26">M30*$G$2</f>
        <v>0</v>
      </c>
      <c r="R30" s="306">
        <f t="shared" ref="R30:R36" si="27">N30*$G$2</f>
        <v>0</v>
      </c>
      <c r="S30" s="306">
        <f t="shared" ref="S30:S36" si="28">O30*$G$2</f>
        <v>1000</v>
      </c>
      <c r="T30" s="306">
        <f t="shared" ref="T30:T36" si="29">P30*$G$2</f>
        <v>0</v>
      </c>
      <c r="U30" s="316">
        <f t="shared" si="23"/>
        <v>924000</v>
      </c>
      <c r="V30" s="316">
        <f t="shared" ref="V30:V36" si="30">V29+U30</f>
        <v>7392000</v>
      </c>
      <c r="W30" s="316">
        <f t="shared" ref="W30:W36" si="31">(Q30*$S$3)+(R30*$S$4)+(S30*$S$5)+(T30*$S$6)</f>
        <v>2380000</v>
      </c>
      <c r="X30" s="316">
        <f t="shared" ref="X30:X36" si="32">((X29+W30)-G30)+L30</f>
        <v>13285468.193333335</v>
      </c>
    </row>
    <row r="31" spans="2:39" x14ac:dyDescent="0.25">
      <c r="B31" s="307">
        <f t="shared" si="1"/>
        <v>19</v>
      </c>
      <c r="C31" s="308">
        <f>((SUM('Startup Phase (1-4 months)'!M12:M23))/12)+('Startup Phase (1-4 months)'!M73/12)</f>
        <v>158262.98333333331</v>
      </c>
      <c r="D31" s="318">
        <f>(('Beta Phase (5-8 months)'!M19)/12)</f>
        <v>57213.341666666667</v>
      </c>
      <c r="E31" s="308">
        <f>(('Prod Ready phase (9-12 months)'!M23)/12)</f>
        <v>84687.763333333336</v>
      </c>
      <c r="F31" s="308"/>
      <c r="G31" s="308">
        <f t="shared" si="2"/>
        <v>300164.08833333332</v>
      </c>
      <c r="H31" s="308">
        <f t="shared" si="3"/>
        <v>10206695.894999996</v>
      </c>
      <c r="I31" s="311"/>
      <c r="J31" s="312"/>
      <c r="K31" s="313"/>
      <c r="L31" s="308">
        <v>0</v>
      </c>
      <c r="M31" s="314">
        <v>0</v>
      </c>
      <c r="N31" s="314">
        <v>0</v>
      </c>
      <c r="O31" s="314">
        <v>50</v>
      </c>
      <c r="P31" s="314">
        <v>0</v>
      </c>
      <c r="Q31" s="314">
        <f t="shared" si="26"/>
        <v>0</v>
      </c>
      <c r="R31" s="314">
        <f t="shared" si="27"/>
        <v>0</v>
      </c>
      <c r="S31" s="314">
        <f t="shared" si="28"/>
        <v>1000</v>
      </c>
      <c r="T31" s="314">
        <f t="shared" si="29"/>
        <v>0</v>
      </c>
      <c r="U31" s="308">
        <f t="shared" si="23"/>
        <v>924000</v>
      </c>
      <c r="V31" s="308">
        <f t="shared" si="30"/>
        <v>8316000</v>
      </c>
      <c r="W31" s="308">
        <f t="shared" si="31"/>
        <v>2380000</v>
      </c>
      <c r="X31" s="308">
        <f t="shared" si="32"/>
        <v>15365304.105000002</v>
      </c>
    </row>
    <row r="32" spans="2:39" x14ac:dyDescent="0.25">
      <c r="B32" s="315">
        <f t="shared" si="1"/>
        <v>20</v>
      </c>
      <c r="C32" s="316">
        <f>((SUM('Startup Phase (1-4 months)'!M12:M23))/12)+('Startup Phase (1-4 months)'!M73/12)</f>
        <v>158262.98333333331</v>
      </c>
      <c r="D32" s="319">
        <f>(('Beta Phase (5-8 months)'!M19)/12)</f>
        <v>57213.341666666667</v>
      </c>
      <c r="E32" s="316">
        <f>(('Prod Ready phase (9-12 months)'!M23)/12)</f>
        <v>84687.763333333336</v>
      </c>
      <c r="F32" s="316"/>
      <c r="G32" s="316">
        <f t="shared" si="2"/>
        <v>300164.08833333332</v>
      </c>
      <c r="H32" s="316">
        <f t="shared" si="3"/>
        <v>10506859.983333329</v>
      </c>
      <c r="I32" s="302"/>
      <c r="J32" s="303"/>
      <c r="K32" s="304"/>
      <c r="L32" s="316">
        <v>0</v>
      </c>
      <c r="M32" s="306">
        <v>0</v>
      </c>
      <c r="N32" s="306">
        <v>0</v>
      </c>
      <c r="O32" s="306">
        <v>50</v>
      </c>
      <c r="P32" s="306">
        <v>0</v>
      </c>
      <c r="Q32" s="306">
        <f t="shared" si="26"/>
        <v>0</v>
      </c>
      <c r="R32" s="306">
        <f t="shared" si="27"/>
        <v>0</v>
      </c>
      <c r="S32" s="306">
        <f t="shared" si="28"/>
        <v>1000</v>
      </c>
      <c r="T32" s="306">
        <f t="shared" si="29"/>
        <v>0</v>
      </c>
      <c r="U32" s="316">
        <f t="shared" si="23"/>
        <v>924000</v>
      </c>
      <c r="V32" s="316">
        <f t="shared" si="30"/>
        <v>9240000</v>
      </c>
      <c r="W32" s="316">
        <f t="shared" si="31"/>
        <v>2380000</v>
      </c>
      <c r="X32" s="316">
        <f t="shared" si="32"/>
        <v>17445140.016666669</v>
      </c>
    </row>
    <row r="33" spans="2:24" x14ac:dyDescent="0.25">
      <c r="B33" s="307">
        <f t="shared" si="1"/>
        <v>21</v>
      </c>
      <c r="C33" s="308">
        <f>((SUM('Startup Phase (1-4 months)'!M12:M23))/12)+('Startup Phase (1-4 months)'!M73/12)</f>
        <v>158262.98333333331</v>
      </c>
      <c r="D33" s="318">
        <f>(('Beta Phase (5-8 months)'!M19)/12)+('Beta Phase (5-8 months)'!M41)</f>
        <v>367213.34166666667</v>
      </c>
      <c r="E33" s="308">
        <f>(('Prod Ready phase (9-12 months)'!M23)/12)</f>
        <v>84687.763333333336</v>
      </c>
      <c r="F33" s="308"/>
      <c r="G33" s="308">
        <f>SUM(C33:F33)</f>
        <v>610164.08833333326</v>
      </c>
      <c r="H33" s="308">
        <f t="shared" si="3"/>
        <v>11117024.071666662</v>
      </c>
      <c r="I33" s="311"/>
      <c r="J33" s="312"/>
      <c r="K33" s="313"/>
      <c r="L33" s="308">
        <v>0</v>
      </c>
      <c r="M33" s="314">
        <v>0</v>
      </c>
      <c r="N33" s="314">
        <v>0</v>
      </c>
      <c r="O33" s="314">
        <v>50</v>
      </c>
      <c r="P33" s="314">
        <v>0</v>
      </c>
      <c r="Q33" s="314">
        <f t="shared" si="26"/>
        <v>0</v>
      </c>
      <c r="R33" s="314">
        <f t="shared" si="27"/>
        <v>0</v>
      </c>
      <c r="S33" s="314">
        <f t="shared" si="28"/>
        <v>1000</v>
      </c>
      <c r="T33" s="314">
        <f t="shared" si="29"/>
        <v>0</v>
      </c>
      <c r="U33" s="308">
        <f t="shared" si="23"/>
        <v>924000</v>
      </c>
      <c r="V33" s="308">
        <f t="shared" si="30"/>
        <v>10164000</v>
      </c>
      <c r="W33" s="308">
        <f t="shared" si="31"/>
        <v>2380000</v>
      </c>
      <c r="X33" s="308">
        <f t="shared" si="32"/>
        <v>19214975.928333335</v>
      </c>
    </row>
    <row r="34" spans="2:24" x14ac:dyDescent="0.25">
      <c r="B34" s="315">
        <f t="shared" si="1"/>
        <v>22</v>
      </c>
      <c r="C34" s="316">
        <f>((SUM('Startup Phase (1-4 months)'!M12:M23))/12)+('Startup Phase (1-4 months)'!M73/12)</f>
        <v>158262.98333333331</v>
      </c>
      <c r="D34" s="319">
        <f>(('Beta Phase (5-8 months)'!M19)/12)</f>
        <v>57213.341666666667</v>
      </c>
      <c r="E34" s="316">
        <f>(('Prod Ready phase (9-12 months)'!M23)/12)</f>
        <v>84687.763333333336</v>
      </c>
      <c r="F34" s="316"/>
      <c r="G34" s="316">
        <f t="shared" si="2"/>
        <v>300164.08833333332</v>
      </c>
      <c r="H34" s="316">
        <f t="shared" si="3"/>
        <v>11417188.159999995</v>
      </c>
      <c r="I34" s="302"/>
      <c r="J34" s="303"/>
      <c r="K34" s="304"/>
      <c r="L34" s="316">
        <v>0</v>
      </c>
      <c r="M34" s="306">
        <v>0</v>
      </c>
      <c r="N34" s="306">
        <v>0</v>
      </c>
      <c r="O34" s="306">
        <v>50</v>
      </c>
      <c r="P34" s="306">
        <v>0</v>
      </c>
      <c r="Q34" s="306">
        <f t="shared" si="26"/>
        <v>0</v>
      </c>
      <c r="R34" s="306">
        <f t="shared" si="27"/>
        <v>0</v>
      </c>
      <c r="S34" s="306">
        <f t="shared" si="28"/>
        <v>1000</v>
      </c>
      <c r="T34" s="306">
        <f t="shared" si="29"/>
        <v>0</v>
      </c>
      <c r="U34" s="316">
        <f t="shared" si="23"/>
        <v>924000</v>
      </c>
      <c r="V34" s="316">
        <f t="shared" si="30"/>
        <v>11088000</v>
      </c>
      <c r="W34" s="316">
        <f t="shared" si="31"/>
        <v>2380000</v>
      </c>
      <c r="X34" s="316">
        <f t="shared" si="32"/>
        <v>21294811.84</v>
      </c>
    </row>
    <row r="35" spans="2:24" x14ac:dyDescent="0.25">
      <c r="B35" s="307">
        <f t="shared" si="1"/>
        <v>23</v>
      </c>
      <c r="C35" s="308">
        <f>((SUM('Startup Phase (1-4 months)'!M12:M23))/12)+('Startup Phase (1-4 months)'!M73/12)</f>
        <v>158262.98333333331</v>
      </c>
      <c r="D35" s="318">
        <f>(('Beta Phase (5-8 months)'!M19)/12)</f>
        <v>57213.341666666667</v>
      </c>
      <c r="E35" s="308">
        <f>(('Prod Ready phase (9-12 months)'!M23)/12)</f>
        <v>84687.763333333336</v>
      </c>
      <c r="F35" s="308"/>
      <c r="G35" s="308">
        <f t="shared" si="2"/>
        <v>300164.08833333332</v>
      </c>
      <c r="H35" s="308">
        <f t="shared" si="3"/>
        <v>11717352.248333327</v>
      </c>
      <c r="I35" s="311"/>
      <c r="J35" s="312"/>
      <c r="K35" s="313"/>
      <c r="L35" s="308">
        <v>0</v>
      </c>
      <c r="M35" s="314">
        <v>0</v>
      </c>
      <c r="N35" s="314">
        <v>0</v>
      </c>
      <c r="O35" s="314">
        <v>50</v>
      </c>
      <c r="P35" s="314">
        <v>0</v>
      </c>
      <c r="Q35" s="314">
        <f t="shared" si="26"/>
        <v>0</v>
      </c>
      <c r="R35" s="314">
        <f t="shared" si="27"/>
        <v>0</v>
      </c>
      <c r="S35" s="314">
        <f t="shared" si="28"/>
        <v>1000</v>
      </c>
      <c r="T35" s="314">
        <f t="shared" si="29"/>
        <v>0</v>
      </c>
      <c r="U35" s="308">
        <f t="shared" si="23"/>
        <v>924000</v>
      </c>
      <c r="V35" s="308">
        <f t="shared" si="30"/>
        <v>12012000</v>
      </c>
      <c r="W35" s="308">
        <f t="shared" si="31"/>
        <v>2380000</v>
      </c>
      <c r="X35" s="308">
        <f t="shared" si="32"/>
        <v>23374647.751666665</v>
      </c>
    </row>
    <row r="36" spans="2:24" x14ac:dyDescent="0.25">
      <c r="B36" s="315">
        <f t="shared" si="1"/>
        <v>24</v>
      </c>
      <c r="C36" s="316">
        <f>((SUM('Startup Phase (1-4 months)'!M12:M23))/12)+('Startup Phase (1-4 months)'!M73/12)</f>
        <v>158262.98333333331</v>
      </c>
      <c r="D36" s="319">
        <f>(('Beta Phase (5-8 months)'!M19)/12)+('Beta Phase (5-8 months)'!M41)</f>
        <v>367213.34166666667</v>
      </c>
      <c r="E36" s="316">
        <f>(('Prod Ready phase (9-12 months)'!M23)/12)</f>
        <v>84687.763333333336</v>
      </c>
      <c r="F36" s="316"/>
      <c r="G36" s="316">
        <f t="shared" si="2"/>
        <v>610164.08833333326</v>
      </c>
      <c r="H36" s="316">
        <f t="shared" si="3"/>
        <v>12327516.33666666</v>
      </c>
      <c r="I36" s="302"/>
      <c r="J36" s="303"/>
      <c r="K36" s="304"/>
      <c r="L36" s="316">
        <v>0</v>
      </c>
      <c r="M36" s="306">
        <v>0</v>
      </c>
      <c r="N36" s="306">
        <v>0</v>
      </c>
      <c r="O36" s="306">
        <v>50</v>
      </c>
      <c r="P36" s="306">
        <v>0</v>
      </c>
      <c r="Q36" s="306">
        <f t="shared" si="26"/>
        <v>0</v>
      </c>
      <c r="R36" s="306">
        <f t="shared" si="27"/>
        <v>0</v>
      </c>
      <c r="S36" s="306">
        <f t="shared" si="28"/>
        <v>1000</v>
      </c>
      <c r="T36" s="306">
        <f t="shared" si="29"/>
        <v>0</v>
      </c>
      <c r="U36" s="316">
        <f t="shared" si="23"/>
        <v>924000</v>
      </c>
      <c r="V36" s="316">
        <f t="shared" si="30"/>
        <v>12936000</v>
      </c>
      <c r="W36" s="316">
        <f t="shared" si="31"/>
        <v>2380000</v>
      </c>
      <c r="X36" s="316">
        <f t="shared" si="32"/>
        <v>25144483.66333333</v>
      </c>
    </row>
    <row r="37" spans="2:24" x14ac:dyDescent="0.25">
      <c r="B37" s="307">
        <f t="shared" si="1"/>
        <v>25</v>
      </c>
      <c r="C37" s="308">
        <f>((SUM('Startup Phase (1-4 months)'!M12:M23))/12)+('Startup Phase (1-4 months)'!M73/12)+('Startup Phase (1-4 months)'!M60)+('Startup Phase (1-4 months)'!M61)+('Startup Phase (1-4 months)'!M62)+('Startup Phase (1-4 months)'!M63)</f>
        <v>263262.98333333328</v>
      </c>
      <c r="D37" s="318">
        <f>(('Beta Phase (5-8 months)'!M19)/12)</f>
        <v>57213.341666666667</v>
      </c>
      <c r="E37" s="308">
        <f>(('Prod Ready phase (9-12 months)'!M23)/12)</f>
        <v>84687.763333333336</v>
      </c>
      <c r="F37" s="308"/>
      <c r="G37" s="308">
        <f t="shared" si="2"/>
        <v>405164.08833333326</v>
      </c>
      <c r="H37" s="308">
        <f t="shared" si="3"/>
        <v>12732680.424999993</v>
      </c>
      <c r="I37" s="311"/>
      <c r="J37" s="312"/>
      <c r="K37" s="313"/>
      <c r="L37" s="308">
        <v>0</v>
      </c>
      <c r="M37" s="314">
        <v>0</v>
      </c>
      <c r="N37" s="314">
        <v>0</v>
      </c>
      <c r="O37" s="314">
        <v>50</v>
      </c>
      <c r="P37" s="314">
        <v>0</v>
      </c>
      <c r="Q37" s="314">
        <f t="shared" ref="Q37:Q44" si="33">M37*$G$2</f>
        <v>0</v>
      </c>
      <c r="R37" s="314">
        <f t="shared" ref="R37:R48" si="34">N37*$G$2</f>
        <v>0</v>
      </c>
      <c r="S37" s="314">
        <f t="shared" ref="S37:S48" si="35">O37*$G$2</f>
        <v>1000</v>
      </c>
      <c r="T37" s="314">
        <f t="shared" ref="T37:T48" si="36">P37*$G$2</f>
        <v>0</v>
      </c>
      <c r="U37" s="308">
        <f>(Q37*$M$4)+(R37*$M$5)+(S37*$M$6)+(T37*$M$7)</f>
        <v>924000</v>
      </c>
      <c r="V37" s="308">
        <f t="shared" ref="V37:V48" si="37">V36+U37</f>
        <v>13860000</v>
      </c>
      <c r="W37" s="308">
        <f t="shared" ref="W37:W48" si="38">(Q37*$S$3)+(R37*$S$4)+(S37*$S$5)+(T37*$S$6)</f>
        <v>2380000</v>
      </c>
      <c r="X37" s="308">
        <f t="shared" ref="X37:X48" si="39">((X36+W37)-G37)+L37</f>
        <v>27119319.574999996</v>
      </c>
    </row>
    <row r="38" spans="2:24" x14ac:dyDescent="0.25">
      <c r="B38" s="315">
        <f t="shared" si="1"/>
        <v>26</v>
      </c>
      <c r="C38" s="316">
        <f>((SUM('Startup Phase (1-4 months)'!M12:M23))/12)+('Startup Phase (1-4 months)'!M73/12)</f>
        <v>158262.98333333331</v>
      </c>
      <c r="D38" s="319">
        <f>(('Beta Phase (5-8 months)'!M19)/12)</f>
        <v>57213.341666666667</v>
      </c>
      <c r="E38" s="316">
        <f>(('Prod Ready phase (9-12 months)'!M23)/12)</f>
        <v>84687.763333333336</v>
      </c>
      <c r="F38" s="316"/>
      <c r="G38" s="316">
        <f t="shared" si="2"/>
        <v>300164.08833333332</v>
      </c>
      <c r="H38" s="316">
        <f t="shared" si="3"/>
        <v>13032844.513333326</v>
      </c>
      <c r="I38" s="302"/>
      <c r="J38" s="303"/>
      <c r="K38" s="304"/>
      <c r="L38" s="316">
        <v>0</v>
      </c>
      <c r="M38" s="306">
        <v>0</v>
      </c>
      <c r="N38" s="306">
        <v>0</v>
      </c>
      <c r="O38" s="306">
        <v>50</v>
      </c>
      <c r="P38" s="306">
        <v>0</v>
      </c>
      <c r="Q38" s="306">
        <f t="shared" si="33"/>
        <v>0</v>
      </c>
      <c r="R38" s="306">
        <f t="shared" si="34"/>
        <v>0</v>
      </c>
      <c r="S38" s="306">
        <f t="shared" si="35"/>
        <v>1000</v>
      </c>
      <c r="T38" s="306">
        <f t="shared" si="36"/>
        <v>0</v>
      </c>
      <c r="U38" s="316">
        <f t="shared" ref="U38:U48" si="40">(Q38*$M$4)+(R38*$M$5)+(S38*$M$6)+(T38*$M$7)</f>
        <v>924000</v>
      </c>
      <c r="V38" s="316">
        <f t="shared" si="37"/>
        <v>14784000</v>
      </c>
      <c r="W38" s="316">
        <f t="shared" si="38"/>
        <v>2380000</v>
      </c>
      <c r="X38" s="316">
        <f t="shared" si="39"/>
        <v>29199155.486666661</v>
      </c>
    </row>
    <row r="39" spans="2:24" x14ac:dyDescent="0.25">
      <c r="B39" s="307">
        <f t="shared" si="1"/>
        <v>27</v>
      </c>
      <c r="C39" s="308">
        <f>((SUM('Startup Phase (1-4 months)'!M12:M23))/12)+('Startup Phase (1-4 months)'!M73/12)</f>
        <v>158262.98333333331</v>
      </c>
      <c r="D39" s="318">
        <f>(('Beta Phase (5-8 months)'!M19)/12)+('Beta Phase (5-8 months)'!M41)</f>
        <v>367213.34166666667</v>
      </c>
      <c r="E39" s="308">
        <f>(('Prod Ready phase (9-12 months)'!M23)/12)</f>
        <v>84687.763333333336</v>
      </c>
      <c r="F39" s="308"/>
      <c r="G39" s="308">
        <f t="shared" si="2"/>
        <v>610164.08833333326</v>
      </c>
      <c r="H39" s="308">
        <f t="shared" si="3"/>
        <v>13643008.601666659</v>
      </c>
      <c r="I39" s="311"/>
      <c r="J39" s="312"/>
      <c r="K39" s="313"/>
      <c r="L39" s="308">
        <v>0</v>
      </c>
      <c r="M39" s="314">
        <v>0</v>
      </c>
      <c r="N39" s="314">
        <v>0</v>
      </c>
      <c r="O39" s="314">
        <v>50</v>
      </c>
      <c r="P39" s="314">
        <v>0</v>
      </c>
      <c r="Q39" s="314">
        <f t="shared" si="33"/>
        <v>0</v>
      </c>
      <c r="R39" s="314">
        <f t="shared" si="34"/>
        <v>0</v>
      </c>
      <c r="S39" s="314">
        <f t="shared" si="35"/>
        <v>1000</v>
      </c>
      <c r="T39" s="314">
        <f t="shared" si="36"/>
        <v>0</v>
      </c>
      <c r="U39" s="308">
        <f t="shared" si="40"/>
        <v>924000</v>
      </c>
      <c r="V39" s="308">
        <f t="shared" si="37"/>
        <v>15708000</v>
      </c>
      <c r="W39" s="308">
        <f t="shared" si="38"/>
        <v>2380000</v>
      </c>
      <c r="X39" s="308">
        <f t="shared" si="39"/>
        <v>30968991.398333326</v>
      </c>
    </row>
    <row r="40" spans="2:24" x14ac:dyDescent="0.25">
      <c r="B40" s="315">
        <f t="shared" si="1"/>
        <v>28</v>
      </c>
      <c r="C40" s="316">
        <f>((SUM('Startup Phase (1-4 months)'!M12:M23))/12)+('Startup Phase (1-4 months)'!M73/12)</f>
        <v>158262.98333333331</v>
      </c>
      <c r="D40" s="319">
        <f>(('Beta Phase (5-8 months)'!M19)/12)</f>
        <v>57213.341666666667</v>
      </c>
      <c r="E40" s="316">
        <f>(('Prod Ready phase (9-12 months)'!M23)/12)</f>
        <v>84687.763333333336</v>
      </c>
      <c r="F40" s="316"/>
      <c r="G40" s="316">
        <f t="shared" si="2"/>
        <v>300164.08833333332</v>
      </c>
      <c r="H40" s="316">
        <f t="shared" si="3"/>
        <v>13943172.689999992</v>
      </c>
      <c r="I40" s="302"/>
      <c r="J40" s="303"/>
      <c r="K40" s="304"/>
      <c r="L40" s="316">
        <v>0</v>
      </c>
      <c r="M40" s="306">
        <v>0</v>
      </c>
      <c r="N40" s="306">
        <v>0</v>
      </c>
      <c r="O40" s="306">
        <v>50</v>
      </c>
      <c r="P40" s="306">
        <v>0</v>
      </c>
      <c r="Q40" s="306">
        <f t="shared" si="33"/>
        <v>0</v>
      </c>
      <c r="R40" s="306">
        <f t="shared" si="34"/>
        <v>0</v>
      </c>
      <c r="S40" s="306">
        <f t="shared" si="35"/>
        <v>1000</v>
      </c>
      <c r="T40" s="306">
        <f t="shared" si="36"/>
        <v>0</v>
      </c>
      <c r="U40" s="316">
        <f t="shared" si="40"/>
        <v>924000</v>
      </c>
      <c r="V40" s="316">
        <f t="shared" si="37"/>
        <v>16632000</v>
      </c>
      <c r="W40" s="316">
        <f t="shared" si="38"/>
        <v>2380000</v>
      </c>
      <c r="X40" s="316">
        <f t="shared" si="39"/>
        <v>33048827.309999991</v>
      </c>
    </row>
    <row r="41" spans="2:24" x14ac:dyDescent="0.25">
      <c r="B41" s="307">
        <f t="shared" si="1"/>
        <v>29</v>
      </c>
      <c r="C41" s="308">
        <f>((SUM('Startup Phase (1-4 months)'!M12:M23))/12)+('Startup Phase (1-4 months)'!M73/12)</f>
        <v>158262.98333333331</v>
      </c>
      <c r="D41" s="318">
        <f>(('Beta Phase (5-8 months)'!M19)/12)</f>
        <v>57213.341666666667</v>
      </c>
      <c r="E41" s="308">
        <f>(('Prod Ready phase (9-12 months)'!M23)/12)</f>
        <v>84687.763333333336</v>
      </c>
      <c r="F41" s="308"/>
      <c r="G41" s="308">
        <f t="shared" si="2"/>
        <v>300164.08833333332</v>
      </c>
      <c r="H41" s="308">
        <f t="shared" si="3"/>
        <v>14243336.778333325</v>
      </c>
      <c r="I41" s="311"/>
      <c r="J41" s="312"/>
      <c r="K41" s="313"/>
      <c r="L41" s="308">
        <v>0</v>
      </c>
      <c r="M41" s="314">
        <v>0</v>
      </c>
      <c r="N41" s="314">
        <v>0</v>
      </c>
      <c r="O41" s="314">
        <v>50</v>
      </c>
      <c r="P41" s="314">
        <v>0</v>
      </c>
      <c r="Q41" s="314">
        <f t="shared" si="33"/>
        <v>0</v>
      </c>
      <c r="R41" s="314">
        <f t="shared" si="34"/>
        <v>0</v>
      </c>
      <c r="S41" s="314">
        <f t="shared" si="35"/>
        <v>1000</v>
      </c>
      <c r="T41" s="314">
        <f t="shared" si="36"/>
        <v>0</v>
      </c>
      <c r="U41" s="308">
        <f t="shared" si="40"/>
        <v>924000</v>
      </c>
      <c r="V41" s="308">
        <f t="shared" si="37"/>
        <v>17556000</v>
      </c>
      <c r="W41" s="308">
        <f t="shared" si="38"/>
        <v>2380000</v>
      </c>
      <c r="X41" s="308">
        <f t="shared" si="39"/>
        <v>35128663.221666656</v>
      </c>
    </row>
    <row r="42" spans="2:24" x14ac:dyDescent="0.25">
      <c r="B42" s="315">
        <f t="shared" si="1"/>
        <v>30</v>
      </c>
      <c r="C42" s="316">
        <f>((SUM('Startup Phase (1-4 months)'!M12:M23))/12)+('Startup Phase (1-4 months)'!M73/12)</f>
        <v>158262.98333333331</v>
      </c>
      <c r="D42" s="319">
        <f>(('Beta Phase (5-8 months)'!M19)/12)+('Beta Phase (5-8 months)'!M41)</f>
        <v>367213.34166666667</v>
      </c>
      <c r="E42" s="316">
        <f>(('Prod Ready phase (9-12 months)'!M23)/12)</f>
        <v>84687.763333333336</v>
      </c>
      <c r="F42" s="316"/>
      <c r="G42" s="316">
        <f t="shared" si="2"/>
        <v>610164.08833333326</v>
      </c>
      <c r="H42" s="316">
        <f t="shared" si="3"/>
        <v>14853500.866666658</v>
      </c>
      <c r="I42" s="302"/>
      <c r="J42" s="303"/>
      <c r="K42" s="304"/>
      <c r="L42" s="316">
        <v>0</v>
      </c>
      <c r="M42" s="306">
        <v>0</v>
      </c>
      <c r="N42" s="306">
        <v>0</v>
      </c>
      <c r="O42" s="306">
        <v>50</v>
      </c>
      <c r="P42" s="306">
        <v>0</v>
      </c>
      <c r="Q42" s="306">
        <f t="shared" si="33"/>
        <v>0</v>
      </c>
      <c r="R42" s="306">
        <f t="shared" si="34"/>
        <v>0</v>
      </c>
      <c r="S42" s="306">
        <f t="shared" si="35"/>
        <v>1000</v>
      </c>
      <c r="T42" s="306">
        <f t="shared" si="36"/>
        <v>0</v>
      </c>
      <c r="U42" s="316">
        <f t="shared" si="40"/>
        <v>924000</v>
      </c>
      <c r="V42" s="316">
        <f t="shared" si="37"/>
        <v>18480000</v>
      </c>
      <c r="W42" s="316">
        <f t="shared" si="38"/>
        <v>2380000</v>
      </c>
      <c r="X42" s="316">
        <f t="shared" si="39"/>
        <v>36898499.133333325</v>
      </c>
    </row>
    <row r="43" spans="2:24" x14ac:dyDescent="0.25">
      <c r="B43" s="307">
        <f t="shared" si="1"/>
        <v>31</v>
      </c>
      <c r="C43" s="308">
        <f>((SUM('Startup Phase (1-4 months)'!M12:M23))/12)+('Startup Phase (1-4 months)'!M73/12)</f>
        <v>158262.98333333331</v>
      </c>
      <c r="D43" s="318">
        <f>(('Beta Phase (5-8 months)'!M19)/12)</f>
        <v>57213.341666666667</v>
      </c>
      <c r="E43" s="308">
        <f>(('Prod Ready phase (9-12 months)'!M23)/12)</f>
        <v>84687.763333333336</v>
      </c>
      <c r="F43" s="308"/>
      <c r="G43" s="308">
        <f t="shared" si="2"/>
        <v>300164.08833333332</v>
      </c>
      <c r="H43" s="308">
        <f t="shared" si="3"/>
        <v>15153664.954999991</v>
      </c>
      <c r="I43" s="311"/>
      <c r="J43" s="312"/>
      <c r="K43" s="313"/>
      <c r="L43" s="308">
        <v>0</v>
      </c>
      <c r="M43" s="314">
        <v>0</v>
      </c>
      <c r="N43" s="314">
        <v>0</v>
      </c>
      <c r="O43" s="314">
        <v>50</v>
      </c>
      <c r="P43" s="314">
        <v>0</v>
      </c>
      <c r="Q43" s="314">
        <f t="shared" si="33"/>
        <v>0</v>
      </c>
      <c r="R43" s="314">
        <f t="shared" si="34"/>
        <v>0</v>
      </c>
      <c r="S43" s="314">
        <f t="shared" si="35"/>
        <v>1000</v>
      </c>
      <c r="T43" s="314">
        <f t="shared" si="36"/>
        <v>0</v>
      </c>
      <c r="U43" s="308">
        <f t="shared" si="40"/>
        <v>924000</v>
      </c>
      <c r="V43" s="308">
        <f t="shared" si="37"/>
        <v>19404000</v>
      </c>
      <c r="W43" s="308">
        <f t="shared" si="38"/>
        <v>2380000</v>
      </c>
      <c r="X43" s="308">
        <f t="shared" si="39"/>
        <v>38978335.044999994</v>
      </c>
    </row>
    <row r="44" spans="2:24" x14ac:dyDescent="0.25">
      <c r="B44" s="315">
        <f t="shared" si="1"/>
        <v>32</v>
      </c>
      <c r="C44" s="316">
        <f>((SUM('Startup Phase (1-4 months)'!M12:M23))/12)+('Startup Phase (1-4 months)'!M73/12)</f>
        <v>158262.98333333331</v>
      </c>
      <c r="D44" s="319">
        <f>(('Beta Phase (5-8 months)'!M19)/12)</f>
        <v>57213.341666666667</v>
      </c>
      <c r="E44" s="316">
        <f>(('Prod Ready phase (9-12 months)'!M23)/12)</f>
        <v>84687.763333333336</v>
      </c>
      <c r="F44" s="316"/>
      <c r="G44" s="316">
        <f t="shared" si="2"/>
        <v>300164.08833333332</v>
      </c>
      <c r="H44" s="316">
        <f t="shared" si="3"/>
        <v>15453829.043333324</v>
      </c>
      <c r="I44" s="302"/>
      <c r="J44" s="303"/>
      <c r="K44" s="304"/>
      <c r="L44" s="316">
        <v>0</v>
      </c>
      <c r="M44" s="306">
        <v>0</v>
      </c>
      <c r="N44" s="306">
        <v>0</v>
      </c>
      <c r="O44" s="306">
        <v>50</v>
      </c>
      <c r="P44" s="306">
        <v>0</v>
      </c>
      <c r="Q44" s="306">
        <f t="shared" si="33"/>
        <v>0</v>
      </c>
      <c r="R44" s="306">
        <f t="shared" si="34"/>
        <v>0</v>
      </c>
      <c r="S44" s="306">
        <f t="shared" si="35"/>
        <v>1000</v>
      </c>
      <c r="T44" s="306">
        <f t="shared" si="36"/>
        <v>0</v>
      </c>
      <c r="U44" s="316">
        <f t="shared" si="40"/>
        <v>924000</v>
      </c>
      <c r="V44" s="316">
        <f t="shared" si="37"/>
        <v>20328000</v>
      </c>
      <c r="W44" s="316">
        <f t="shared" si="38"/>
        <v>2380000</v>
      </c>
      <c r="X44" s="316">
        <f t="shared" si="39"/>
        <v>41058170.956666663</v>
      </c>
    </row>
    <row r="45" spans="2:24" x14ac:dyDescent="0.25">
      <c r="B45" s="307">
        <f t="shared" si="1"/>
        <v>33</v>
      </c>
      <c r="C45" s="308">
        <f>((SUM('Startup Phase (1-4 months)'!M12:M23))/12)+('Startup Phase (1-4 months)'!M73/12)</f>
        <v>158262.98333333331</v>
      </c>
      <c r="D45" s="318">
        <f>(('Beta Phase (5-8 months)'!M19)/12)+('Beta Phase (5-8 months)'!M41)</f>
        <v>367213.34166666667</v>
      </c>
      <c r="E45" s="308">
        <f>(('Prod Ready phase (9-12 months)'!M23)/12)</f>
        <v>84687.763333333336</v>
      </c>
      <c r="F45" s="308"/>
      <c r="G45" s="308">
        <f t="shared" si="2"/>
        <v>610164.08833333326</v>
      </c>
      <c r="H45" s="308">
        <f t="shared" si="3"/>
        <v>16063993.131666657</v>
      </c>
      <c r="I45" s="311"/>
      <c r="J45" s="312"/>
      <c r="K45" s="313"/>
      <c r="L45" s="308">
        <v>0</v>
      </c>
      <c r="M45" s="314">
        <v>0</v>
      </c>
      <c r="N45" s="314">
        <v>0</v>
      </c>
      <c r="O45" s="314">
        <v>50</v>
      </c>
      <c r="P45" s="314">
        <v>0</v>
      </c>
      <c r="Q45" s="314">
        <f t="shared" ref="Q45:Q84" si="41">M45*$G$2</f>
        <v>0</v>
      </c>
      <c r="R45" s="314">
        <f t="shared" si="34"/>
        <v>0</v>
      </c>
      <c r="S45" s="314">
        <f t="shared" si="35"/>
        <v>1000</v>
      </c>
      <c r="T45" s="314">
        <f t="shared" si="36"/>
        <v>0</v>
      </c>
      <c r="U45" s="308">
        <f t="shared" si="40"/>
        <v>924000</v>
      </c>
      <c r="V45" s="308">
        <f t="shared" si="37"/>
        <v>21252000</v>
      </c>
      <c r="W45" s="308">
        <f t="shared" si="38"/>
        <v>2380000</v>
      </c>
      <c r="X45" s="308">
        <f t="shared" si="39"/>
        <v>42828006.868333332</v>
      </c>
    </row>
    <row r="46" spans="2:24" x14ac:dyDescent="0.25">
      <c r="B46" s="315">
        <f t="shared" si="1"/>
        <v>34</v>
      </c>
      <c r="C46" s="316">
        <f>((SUM('Startup Phase (1-4 months)'!M12:M23))/12)+('Startup Phase (1-4 months)'!M73/12)</f>
        <v>158262.98333333331</v>
      </c>
      <c r="D46" s="319">
        <f>(('Beta Phase (5-8 months)'!M19)/12)</f>
        <v>57213.341666666667</v>
      </c>
      <c r="E46" s="316">
        <f>(('Prod Ready phase (9-12 months)'!M23)/12)</f>
        <v>84687.763333333336</v>
      </c>
      <c r="F46" s="316"/>
      <c r="G46" s="316">
        <f t="shared" si="2"/>
        <v>300164.08833333332</v>
      </c>
      <c r="H46" s="316">
        <f t="shared" si="3"/>
        <v>16364157.219999989</v>
      </c>
      <c r="I46" s="302"/>
      <c r="J46" s="303"/>
      <c r="K46" s="304"/>
      <c r="L46" s="316">
        <v>0</v>
      </c>
      <c r="M46" s="306">
        <v>0</v>
      </c>
      <c r="N46" s="306">
        <v>0</v>
      </c>
      <c r="O46" s="306">
        <v>50</v>
      </c>
      <c r="P46" s="306">
        <v>0</v>
      </c>
      <c r="Q46" s="306">
        <f t="shared" si="41"/>
        <v>0</v>
      </c>
      <c r="R46" s="306">
        <f t="shared" si="34"/>
        <v>0</v>
      </c>
      <c r="S46" s="306">
        <f t="shared" si="35"/>
        <v>1000</v>
      </c>
      <c r="T46" s="306">
        <f t="shared" si="36"/>
        <v>0</v>
      </c>
      <c r="U46" s="316">
        <f t="shared" si="40"/>
        <v>924000</v>
      </c>
      <c r="V46" s="316">
        <f t="shared" si="37"/>
        <v>22176000</v>
      </c>
      <c r="W46" s="316">
        <f t="shared" si="38"/>
        <v>2380000</v>
      </c>
      <c r="X46" s="316">
        <f t="shared" si="39"/>
        <v>44907842.780000001</v>
      </c>
    </row>
    <row r="47" spans="2:24" x14ac:dyDescent="0.25">
      <c r="B47" s="307">
        <f>B46+1</f>
        <v>35</v>
      </c>
      <c r="C47" s="308">
        <f>((SUM('Startup Phase (1-4 months)'!M12:M23))/12)+('Startup Phase (1-4 months)'!M73/12)</f>
        <v>158262.98333333331</v>
      </c>
      <c r="D47" s="318">
        <f>(('Beta Phase (5-8 months)'!M19)/12)</f>
        <v>57213.341666666667</v>
      </c>
      <c r="E47" s="308">
        <f>(('Prod Ready phase (9-12 months)'!M23)/12)</f>
        <v>84687.763333333336</v>
      </c>
      <c r="F47" s="308"/>
      <c r="G47" s="308">
        <f t="shared" si="2"/>
        <v>300164.08833333332</v>
      </c>
      <c r="H47" s="308">
        <f t="shared" si="3"/>
        <v>16664321.308333322</v>
      </c>
      <c r="I47" s="311"/>
      <c r="J47" s="312"/>
      <c r="K47" s="313"/>
      <c r="L47" s="308">
        <v>0</v>
      </c>
      <c r="M47" s="314">
        <v>0</v>
      </c>
      <c r="N47" s="314">
        <v>0</v>
      </c>
      <c r="O47" s="314">
        <v>50</v>
      </c>
      <c r="P47" s="314">
        <v>0</v>
      </c>
      <c r="Q47" s="314">
        <f t="shared" si="41"/>
        <v>0</v>
      </c>
      <c r="R47" s="314">
        <f t="shared" si="34"/>
        <v>0</v>
      </c>
      <c r="S47" s="314">
        <f t="shared" si="35"/>
        <v>1000</v>
      </c>
      <c r="T47" s="314">
        <f t="shared" si="36"/>
        <v>0</v>
      </c>
      <c r="U47" s="308">
        <f t="shared" si="40"/>
        <v>924000</v>
      </c>
      <c r="V47" s="308">
        <f t="shared" si="37"/>
        <v>23100000</v>
      </c>
      <c r="W47" s="308">
        <f t="shared" si="38"/>
        <v>2380000</v>
      </c>
      <c r="X47" s="308">
        <f t="shared" si="39"/>
        <v>46987678.69166667</v>
      </c>
    </row>
    <row r="48" spans="2:24" x14ac:dyDescent="0.25">
      <c r="B48" s="315">
        <f t="shared" ref="B48:B84" si="42">B47+1</f>
        <v>36</v>
      </c>
      <c r="C48" s="316">
        <f>((SUM('Startup Phase (1-4 months)'!M12:M23))/12)+('Startup Phase (1-4 months)'!M73/12)</f>
        <v>158262.98333333331</v>
      </c>
      <c r="D48" s="319">
        <f>(('Beta Phase (5-8 months)'!M19)/12)+('Beta Phase (5-8 months)'!M41)</f>
        <v>367213.34166666667</v>
      </c>
      <c r="E48" s="316">
        <f>(('Prod Ready phase (9-12 months)'!M23)/12)</f>
        <v>84687.763333333336</v>
      </c>
      <c r="F48" s="316"/>
      <c r="G48" s="316">
        <f t="shared" si="2"/>
        <v>610164.08833333326</v>
      </c>
      <c r="H48" s="316">
        <f t="shared" si="3"/>
        <v>17274485.396666657</v>
      </c>
      <c r="I48" s="302"/>
      <c r="J48" s="303"/>
      <c r="K48" s="304"/>
      <c r="L48" s="316">
        <v>0</v>
      </c>
      <c r="M48" s="306">
        <v>0</v>
      </c>
      <c r="N48" s="306">
        <v>0</v>
      </c>
      <c r="O48" s="306">
        <v>50</v>
      </c>
      <c r="P48" s="306">
        <v>0</v>
      </c>
      <c r="Q48" s="306">
        <f t="shared" si="41"/>
        <v>0</v>
      </c>
      <c r="R48" s="306">
        <f t="shared" si="34"/>
        <v>0</v>
      </c>
      <c r="S48" s="306">
        <f t="shared" si="35"/>
        <v>1000</v>
      </c>
      <c r="T48" s="306">
        <f t="shared" si="36"/>
        <v>0</v>
      </c>
      <c r="U48" s="316">
        <f t="shared" si="40"/>
        <v>924000</v>
      </c>
      <c r="V48" s="316">
        <f t="shared" si="37"/>
        <v>24024000</v>
      </c>
      <c r="W48" s="316">
        <f t="shared" si="38"/>
        <v>2380000</v>
      </c>
      <c r="X48" s="316">
        <f t="shared" si="39"/>
        <v>48757514.603333339</v>
      </c>
    </row>
    <row r="49" spans="2:24" x14ac:dyDescent="0.25">
      <c r="B49" s="307">
        <f t="shared" si="42"/>
        <v>37</v>
      </c>
      <c r="C49" s="308">
        <f>((SUM('Startup Phase (1-4 months)'!M12:M23))/12)+('Startup Phase (1-4 months)'!M73/12)+('Startup Phase (1-4 months)'!M60)+('Startup Phase (1-4 months)'!M61)+('Startup Phase (1-4 months)'!M62)+('Startup Phase (1-4 months)'!M63)</f>
        <v>263262.98333333328</v>
      </c>
      <c r="D49" s="318">
        <f>(('Beta Phase (5-8 months)'!M19)/12)</f>
        <v>57213.341666666667</v>
      </c>
      <c r="E49" s="308">
        <f>(('Prod Ready phase (9-12 months)'!M23)/12)</f>
        <v>84687.763333333336</v>
      </c>
      <c r="F49" s="308"/>
      <c r="G49" s="308">
        <f t="shared" si="2"/>
        <v>405164.08833333326</v>
      </c>
      <c r="H49" s="308">
        <f t="shared" si="3"/>
        <v>17679649.484999992</v>
      </c>
      <c r="I49" s="311"/>
      <c r="J49" s="312"/>
      <c r="K49" s="313"/>
      <c r="L49" s="308">
        <v>0</v>
      </c>
      <c r="M49" s="314">
        <v>0</v>
      </c>
      <c r="N49" s="314">
        <v>0</v>
      </c>
      <c r="O49" s="314">
        <v>50</v>
      </c>
      <c r="P49" s="314">
        <v>0</v>
      </c>
      <c r="Q49" s="314">
        <f t="shared" si="41"/>
        <v>0</v>
      </c>
      <c r="R49" s="314">
        <f t="shared" ref="R49:R84" si="43">N49*$G$2</f>
        <v>0</v>
      </c>
      <c r="S49" s="314">
        <f t="shared" ref="S49:S84" si="44">O49*$G$2</f>
        <v>1000</v>
      </c>
      <c r="T49" s="314">
        <f t="shared" ref="T49:T84" si="45">P49*$G$2</f>
        <v>0</v>
      </c>
      <c r="U49" s="308">
        <f>(Q49*$N$4)+(R49*$N$5)+(S49*$N$6)+(T49*$N$7)</f>
        <v>838000</v>
      </c>
      <c r="V49" s="308">
        <f t="shared" ref="V49:V84" si="46">V48+U49</f>
        <v>24862000</v>
      </c>
      <c r="W49" s="308">
        <f t="shared" ref="W49:W84" si="47">(Q49*$S$3)+(R49*$S$4)+(S49*$S$5)+(T49*$S$6)</f>
        <v>2380000</v>
      </c>
      <c r="X49" s="308">
        <f t="shared" ref="X49:X84" si="48">((X48+W49)-G49)+L49</f>
        <v>50732350.515000008</v>
      </c>
    </row>
    <row r="50" spans="2:24" x14ac:dyDescent="0.25">
      <c r="B50" s="315">
        <f t="shared" si="42"/>
        <v>38</v>
      </c>
      <c r="C50" s="316">
        <f>((SUM('Startup Phase (1-4 months)'!M12:M23))/12)+('Startup Phase (1-4 months)'!M73/12)</f>
        <v>158262.98333333331</v>
      </c>
      <c r="D50" s="319">
        <f>(('Beta Phase (5-8 months)'!M19)/12)</f>
        <v>57213.341666666667</v>
      </c>
      <c r="E50" s="316">
        <f>(('Prod Ready phase (9-12 months)'!M23)/12)</f>
        <v>84687.763333333336</v>
      </c>
      <c r="F50" s="316"/>
      <c r="G50" s="316">
        <f t="shared" si="2"/>
        <v>300164.08833333332</v>
      </c>
      <c r="H50" s="316">
        <f t="shared" si="3"/>
        <v>17979813.573333327</v>
      </c>
      <c r="I50" s="302"/>
      <c r="J50" s="303"/>
      <c r="K50" s="304"/>
      <c r="L50" s="316">
        <v>0</v>
      </c>
      <c r="M50" s="306">
        <v>0</v>
      </c>
      <c r="N50" s="306">
        <v>0</v>
      </c>
      <c r="O50" s="306">
        <v>50</v>
      </c>
      <c r="P50" s="306">
        <v>0</v>
      </c>
      <c r="Q50" s="306">
        <f t="shared" si="41"/>
        <v>0</v>
      </c>
      <c r="R50" s="306">
        <f t="shared" si="43"/>
        <v>0</v>
      </c>
      <c r="S50" s="306">
        <f t="shared" si="44"/>
        <v>1000</v>
      </c>
      <c r="T50" s="306">
        <f t="shared" si="45"/>
        <v>0</v>
      </c>
      <c r="U50" s="316">
        <f t="shared" ref="U50:U60" si="49">(Q50*$N$4)+(R50*$N$5)+(S50*$N$6)+(T50*$N$7)</f>
        <v>838000</v>
      </c>
      <c r="V50" s="316">
        <f t="shared" si="46"/>
        <v>25700000</v>
      </c>
      <c r="W50" s="316">
        <f t="shared" si="47"/>
        <v>2380000</v>
      </c>
      <c r="X50" s="316">
        <f t="shared" si="48"/>
        <v>52812186.426666677</v>
      </c>
    </row>
    <row r="51" spans="2:24" x14ac:dyDescent="0.25">
      <c r="B51" s="307">
        <f t="shared" si="42"/>
        <v>39</v>
      </c>
      <c r="C51" s="308">
        <f>((SUM('Startup Phase (1-4 months)'!M12:M23))/12)+('Startup Phase (1-4 months)'!M73/12)</f>
        <v>158262.98333333331</v>
      </c>
      <c r="D51" s="318">
        <f>(('Beta Phase (5-8 months)'!M19)/12)+('Beta Phase (5-8 months)'!M41)</f>
        <v>367213.34166666667</v>
      </c>
      <c r="E51" s="308">
        <f>(('Prod Ready phase (9-12 months)'!M23)/12)</f>
        <v>84687.763333333336</v>
      </c>
      <c r="F51" s="308"/>
      <c r="G51" s="308">
        <f t="shared" si="2"/>
        <v>610164.08833333326</v>
      </c>
      <c r="H51" s="308">
        <f t="shared" si="3"/>
        <v>18589977.661666662</v>
      </c>
      <c r="I51" s="311"/>
      <c r="J51" s="312"/>
      <c r="K51" s="313"/>
      <c r="L51" s="308">
        <v>0</v>
      </c>
      <c r="M51" s="314">
        <v>0</v>
      </c>
      <c r="N51" s="314">
        <v>0</v>
      </c>
      <c r="O51" s="314">
        <v>50</v>
      </c>
      <c r="P51" s="314">
        <v>0</v>
      </c>
      <c r="Q51" s="314">
        <f t="shared" si="41"/>
        <v>0</v>
      </c>
      <c r="R51" s="314">
        <f t="shared" si="43"/>
        <v>0</v>
      </c>
      <c r="S51" s="314">
        <f t="shared" si="44"/>
        <v>1000</v>
      </c>
      <c r="T51" s="314">
        <f t="shared" si="45"/>
        <v>0</v>
      </c>
      <c r="U51" s="308">
        <f t="shared" si="49"/>
        <v>838000</v>
      </c>
      <c r="V51" s="308">
        <f t="shared" si="46"/>
        <v>26538000</v>
      </c>
      <c r="W51" s="308">
        <f t="shared" si="47"/>
        <v>2380000</v>
      </c>
      <c r="X51" s="308">
        <f t="shared" si="48"/>
        <v>54582022.338333346</v>
      </c>
    </row>
    <row r="52" spans="2:24" x14ac:dyDescent="0.25">
      <c r="B52" s="315">
        <f t="shared" si="42"/>
        <v>40</v>
      </c>
      <c r="C52" s="316">
        <f>((SUM('Startup Phase (1-4 months)'!M12:M23))/12)+('Startup Phase (1-4 months)'!M73/12)</f>
        <v>158262.98333333331</v>
      </c>
      <c r="D52" s="319">
        <f>(('Beta Phase (5-8 months)'!M19)/12)</f>
        <v>57213.341666666667</v>
      </c>
      <c r="E52" s="316">
        <f>(('Prod Ready phase (9-12 months)'!M23)/12)</f>
        <v>84687.763333333336</v>
      </c>
      <c r="F52" s="316"/>
      <c r="G52" s="316">
        <f t="shared" si="2"/>
        <v>300164.08833333332</v>
      </c>
      <c r="H52" s="316">
        <f t="shared" si="3"/>
        <v>18890141.749999996</v>
      </c>
      <c r="I52" s="302"/>
      <c r="J52" s="303"/>
      <c r="K52" s="304"/>
      <c r="L52" s="316">
        <v>0</v>
      </c>
      <c r="M52" s="306">
        <v>0</v>
      </c>
      <c r="N52" s="306">
        <v>0</v>
      </c>
      <c r="O52" s="306">
        <v>50</v>
      </c>
      <c r="P52" s="306">
        <v>0</v>
      </c>
      <c r="Q52" s="306">
        <f t="shared" si="41"/>
        <v>0</v>
      </c>
      <c r="R52" s="306">
        <f t="shared" si="43"/>
        <v>0</v>
      </c>
      <c r="S52" s="306">
        <f t="shared" si="44"/>
        <v>1000</v>
      </c>
      <c r="T52" s="306">
        <f t="shared" si="45"/>
        <v>0</v>
      </c>
      <c r="U52" s="316">
        <f t="shared" si="49"/>
        <v>838000</v>
      </c>
      <c r="V52" s="316">
        <f t="shared" si="46"/>
        <v>27376000</v>
      </c>
      <c r="W52" s="316">
        <f t="shared" si="47"/>
        <v>2380000</v>
      </c>
      <c r="X52" s="316">
        <f t="shared" si="48"/>
        <v>56661858.250000015</v>
      </c>
    </row>
    <row r="53" spans="2:24" x14ac:dyDescent="0.25">
      <c r="B53" s="307">
        <f t="shared" si="42"/>
        <v>41</v>
      </c>
      <c r="C53" s="308">
        <f>((SUM('Startup Phase (1-4 months)'!M12:M23))/12)+('Startup Phase (1-4 months)'!M73/12)</f>
        <v>158262.98333333331</v>
      </c>
      <c r="D53" s="318">
        <f>(('Beta Phase (5-8 months)'!M19)/12)</f>
        <v>57213.341666666667</v>
      </c>
      <c r="E53" s="308">
        <f>(('Prod Ready phase (9-12 months)'!M23)/12)</f>
        <v>84687.763333333336</v>
      </c>
      <c r="F53" s="308"/>
      <c r="G53" s="308">
        <f t="shared" si="2"/>
        <v>300164.08833333332</v>
      </c>
      <c r="H53" s="308">
        <f t="shared" si="3"/>
        <v>19190305.838333331</v>
      </c>
      <c r="I53" s="311"/>
      <c r="J53" s="312"/>
      <c r="K53" s="313"/>
      <c r="L53" s="308">
        <v>0</v>
      </c>
      <c r="M53" s="314">
        <v>0</v>
      </c>
      <c r="N53" s="314">
        <v>0</v>
      </c>
      <c r="O53" s="314">
        <v>50</v>
      </c>
      <c r="P53" s="314">
        <v>0</v>
      </c>
      <c r="Q53" s="314">
        <f t="shared" si="41"/>
        <v>0</v>
      </c>
      <c r="R53" s="314">
        <f t="shared" si="43"/>
        <v>0</v>
      </c>
      <c r="S53" s="314">
        <f t="shared" si="44"/>
        <v>1000</v>
      </c>
      <c r="T53" s="314">
        <f t="shared" si="45"/>
        <v>0</v>
      </c>
      <c r="U53" s="308">
        <f t="shared" si="49"/>
        <v>838000</v>
      </c>
      <c r="V53" s="308">
        <f t="shared" si="46"/>
        <v>28214000</v>
      </c>
      <c r="W53" s="308">
        <f t="shared" si="47"/>
        <v>2380000</v>
      </c>
      <c r="X53" s="308">
        <f t="shared" si="48"/>
        <v>58741694.161666684</v>
      </c>
    </row>
    <row r="54" spans="2:24" x14ac:dyDescent="0.25">
      <c r="B54" s="315">
        <f t="shared" si="42"/>
        <v>42</v>
      </c>
      <c r="C54" s="316">
        <f>((SUM('Startup Phase (1-4 months)'!M12:M23))/12)+('Startup Phase (1-4 months)'!M73/12)</f>
        <v>158262.98333333331</v>
      </c>
      <c r="D54" s="319">
        <f>(('Beta Phase (5-8 months)'!M19)/12)+('Beta Phase (5-8 months)'!M41)</f>
        <v>367213.34166666667</v>
      </c>
      <c r="E54" s="316">
        <f>(('Prod Ready phase (9-12 months)'!M23)/12)</f>
        <v>84687.763333333336</v>
      </c>
      <c r="F54" s="316"/>
      <c r="G54" s="316">
        <f t="shared" si="2"/>
        <v>610164.08833333326</v>
      </c>
      <c r="H54" s="316">
        <f t="shared" si="3"/>
        <v>19800469.926666666</v>
      </c>
      <c r="I54" s="302"/>
      <c r="J54" s="303"/>
      <c r="K54" s="304"/>
      <c r="L54" s="316">
        <v>0</v>
      </c>
      <c r="M54" s="306">
        <v>0</v>
      </c>
      <c r="N54" s="306">
        <v>0</v>
      </c>
      <c r="O54" s="306">
        <v>50</v>
      </c>
      <c r="P54" s="306">
        <v>0</v>
      </c>
      <c r="Q54" s="306">
        <f t="shared" si="41"/>
        <v>0</v>
      </c>
      <c r="R54" s="306">
        <f t="shared" si="43"/>
        <v>0</v>
      </c>
      <c r="S54" s="306">
        <f t="shared" si="44"/>
        <v>1000</v>
      </c>
      <c r="T54" s="306">
        <f t="shared" si="45"/>
        <v>0</v>
      </c>
      <c r="U54" s="316">
        <f t="shared" si="49"/>
        <v>838000</v>
      </c>
      <c r="V54" s="316">
        <f t="shared" si="46"/>
        <v>29052000</v>
      </c>
      <c r="W54" s="316">
        <f t="shared" si="47"/>
        <v>2380000</v>
      </c>
      <c r="X54" s="316">
        <f t="shared" si="48"/>
        <v>60511530.073333353</v>
      </c>
    </row>
    <row r="55" spans="2:24" x14ac:dyDescent="0.25">
      <c r="B55" s="307">
        <f t="shared" si="42"/>
        <v>43</v>
      </c>
      <c r="C55" s="308">
        <f>((SUM('Startup Phase (1-4 months)'!M12:M23))/12)+('Startup Phase (1-4 months)'!M73/12)</f>
        <v>158262.98333333331</v>
      </c>
      <c r="D55" s="318">
        <f>(('Beta Phase (5-8 months)'!M19)/12)</f>
        <v>57213.341666666667</v>
      </c>
      <c r="E55" s="308">
        <f>(('Prod Ready phase (9-12 months)'!M23)/12)</f>
        <v>84687.763333333336</v>
      </c>
      <c r="F55" s="308"/>
      <c r="G55" s="308">
        <f t="shared" si="2"/>
        <v>300164.08833333332</v>
      </c>
      <c r="H55" s="308">
        <f t="shared" si="3"/>
        <v>20100634.015000001</v>
      </c>
      <c r="I55" s="311"/>
      <c r="J55" s="312"/>
      <c r="K55" s="313"/>
      <c r="L55" s="308">
        <v>0</v>
      </c>
      <c r="M55" s="314">
        <v>0</v>
      </c>
      <c r="N55" s="314">
        <v>0</v>
      </c>
      <c r="O55" s="314">
        <v>50</v>
      </c>
      <c r="P55" s="314">
        <v>0</v>
      </c>
      <c r="Q55" s="314">
        <f t="shared" si="41"/>
        <v>0</v>
      </c>
      <c r="R55" s="314">
        <f t="shared" si="43"/>
        <v>0</v>
      </c>
      <c r="S55" s="314">
        <f t="shared" si="44"/>
        <v>1000</v>
      </c>
      <c r="T55" s="314">
        <f t="shared" si="45"/>
        <v>0</v>
      </c>
      <c r="U55" s="308">
        <f t="shared" si="49"/>
        <v>838000</v>
      </c>
      <c r="V55" s="308">
        <f t="shared" si="46"/>
        <v>29890000</v>
      </c>
      <c r="W55" s="308">
        <f t="shared" si="47"/>
        <v>2380000</v>
      </c>
      <c r="X55" s="308">
        <f t="shared" si="48"/>
        <v>62591365.985000022</v>
      </c>
    </row>
    <row r="56" spans="2:24" x14ac:dyDescent="0.25">
      <c r="B56" s="315">
        <f t="shared" si="42"/>
        <v>44</v>
      </c>
      <c r="C56" s="316">
        <f>((SUM('Startup Phase (1-4 months)'!M12:M23))/12)+('Startup Phase (1-4 months)'!M73/12)</f>
        <v>158262.98333333331</v>
      </c>
      <c r="D56" s="319">
        <f>(('Beta Phase (5-8 months)'!M19)/12)+('Beta Phase (5-8 months)'!M41)</f>
        <v>367213.34166666667</v>
      </c>
      <c r="E56" s="316">
        <f>(('Prod Ready phase (9-12 months)'!M23)/12)</f>
        <v>84687.763333333336</v>
      </c>
      <c r="F56" s="316"/>
      <c r="G56" s="316">
        <f t="shared" si="2"/>
        <v>610164.08833333326</v>
      </c>
      <c r="H56" s="316">
        <f t="shared" si="3"/>
        <v>20710798.103333335</v>
      </c>
      <c r="I56" s="302"/>
      <c r="J56" s="303"/>
      <c r="K56" s="304"/>
      <c r="L56" s="316">
        <v>0</v>
      </c>
      <c r="M56" s="306">
        <v>0</v>
      </c>
      <c r="N56" s="306">
        <v>0</v>
      </c>
      <c r="O56" s="306">
        <v>50</v>
      </c>
      <c r="P56" s="306">
        <v>0</v>
      </c>
      <c r="Q56" s="306">
        <f t="shared" si="41"/>
        <v>0</v>
      </c>
      <c r="R56" s="306">
        <f t="shared" si="43"/>
        <v>0</v>
      </c>
      <c r="S56" s="306">
        <f t="shared" si="44"/>
        <v>1000</v>
      </c>
      <c r="T56" s="306">
        <f t="shared" si="45"/>
        <v>0</v>
      </c>
      <c r="U56" s="316">
        <f t="shared" si="49"/>
        <v>838000</v>
      </c>
      <c r="V56" s="316">
        <f t="shared" si="46"/>
        <v>30728000</v>
      </c>
      <c r="W56" s="316">
        <f t="shared" si="47"/>
        <v>2380000</v>
      </c>
      <c r="X56" s="316">
        <f t="shared" si="48"/>
        <v>64361201.896666691</v>
      </c>
    </row>
    <row r="57" spans="2:24" x14ac:dyDescent="0.25">
      <c r="B57" s="307">
        <f t="shared" si="42"/>
        <v>45</v>
      </c>
      <c r="C57" s="308">
        <f>((SUM('Startup Phase (1-4 months)'!M12:M23))/12)+('Startup Phase (1-4 months)'!M73/12)</f>
        <v>158262.98333333331</v>
      </c>
      <c r="D57" s="318">
        <f>(('Beta Phase (5-8 months)'!M19)/12)</f>
        <v>57213.341666666667</v>
      </c>
      <c r="E57" s="308">
        <f>(('Prod Ready phase (9-12 months)'!M23)/12)</f>
        <v>84687.763333333336</v>
      </c>
      <c r="F57" s="308"/>
      <c r="G57" s="308">
        <f t="shared" si="2"/>
        <v>300164.08833333332</v>
      </c>
      <c r="H57" s="308">
        <f t="shared" si="3"/>
        <v>21010962.19166667</v>
      </c>
      <c r="I57" s="311"/>
      <c r="J57" s="312"/>
      <c r="K57" s="313"/>
      <c r="L57" s="308">
        <v>0</v>
      </c>
      <c r="M57" s="314">
        <v>0</v>
      </c>
      <c r="N57" s="314">
        <v>0</v>
      </c>
      <c r="O57" s="314">
        <v>50</v>
      </c>
      <c r="P57" s="314">
        <v>0</v>
      </c>
      <c r="Q57" s="314">
        <f t="shared" si="41"/>
        <v>0</v>
      </c>
      <c r="R57" s="314">
        <f t="shared" si="43"/>
        <v>0</v>
      </c>
      <c r="S57" s="314">
        <f t="shared" si="44"/>
        <v>1000</v>
      </c>
      <c r="T57" s="314">
        <f t="shared" si="45"/>
        <v>0</v>
      </c>
      <c r="U57" s="308">
        <f t="shared" si="49"/>
        <v>838000</v>
      </c>
      <c r="V57" s="308">
        <f t="shared" si="46"/>
        <v>31566000</v>
      </c>
      <c r="W57" s="308">
        <f t="shared" si="47"/>
        <v>2380000</v>
      </c>
      <c r="X57" s="308">
        <f t="shared" si="48"/>
        <v>66441037.80833336</v>
      </c>
    </row>
    <row r="58" spans="2:24" x14ac:dyDescent="0.25">
      <c r="B58" s="315">
        <f t="shared" si="42"/>
        <v>46</v>
      </c>
      <c r="C58" s="316">
        <f>((SUM('Startup Phase (1-4 months)'!M12:M23))/12)+('Startup Phase (1-4 months)'!M73/12)</f>
        <v>158262.98333333331</v>
      </c>
      <c r="D58" s="319">
        <f>(('Beta Phase (5-8 months)'!M19)/12)+('Beta Phase (5-8 months)'!M41)</f>
        <v>367213.34166666667</v>
      </c>
      <c r="E58" s="316">
        <f>(('Prod Ready phase (9-12 months)'!M23)/12)</f>
        <v>84687.763333333336</v>
      </c>
      <c r="F58" s="316"/>
      <c r="G58" s="316">
        <f t="shared" si="2"/>
        <v>610164.08833333326</v>
      </c>
      <c r="H58" s="316">
        <f t="shared" si="3"/>
        <v>21621126.280000005</v>
      </c>
      <c r="I58" s="302"/>
      <c r="J58" s="303"/>
      <c r="K58" s="304"/>
      <c r="L58" s="316">
        <v>0</v>
      </c>
      <c r="M58" s="306">
        <v>0</v>
      </c>
      <c r="N58" s="306">
        <v>0</v>
      </c>
      <c r="O58" s="306">
        <v>50</v>
      </c>
      <c r="P58" s="306">
        <v>0</v>
      </c>
      <c r="Q58" s="306">
        <f t="shared" si="41"/>
        <v>0</v>
      </c>
      <c r="R58" s="306">
        <f t="shared" si="43"/>
        <v>0</v>
      </c>
      <c r="S58" s="306">
        <f t="shared" si="44"/>
        <v>1000</v>
      </c>
      <c r="T58" s="306">
        <f t="shared" si="45"/>
        <v>0</v>
      </c>
      <c r="U58" s="316">
        <f t="shared" si="49"/>
        <v>838000</v>
      </c>
      <c r="V58" s="316">
        <f t="shared" si="46"/>
        <v>32404000</v>
      </c>
      <c r="W58" s="316">
        <f t="shared" si="47"/>
        <v>2380000</v>
      </c>
      <c r="X58" s="316">
        <f t="shared" si="48"/>
        <v>68210873.720000029</v>
      </c>
    </row>
    <row r="59" spans="2:24" x14ac:dyDescent="0.25">
      <c r="B59" s="307">
        <f t="shared" si="42"/>
        <v>47</v>
      </c>
      <c r="C59" s="308">
        <f>((SUM('Startup Phase (1-4 months)'!M12:M23))/12)+('Startup Phase (1-4 months)'!M73/12)</f>
        <v>158262.98333333331</v>
      </c>
      <c r="D59" s="318">
        <f>(('Beta Phase (5-8 months)'!M19)/12)</f>
        <v>57213.341666666667</v>
      </c>
      <c r="E59" s="308">
        <f>(('Prod Ready phase (9-12 months)'!M23)/12)</f>
        <v>84687.763333333336</v>
      </c>
      <c r="F59" s="308"/>
      <c r="G59" s="308">
        <f t="shared" si="2"/>
        <v>300164.08833333332</v>
      </c>
      <c r="H59" s="308">
        <f t="shared" si="3"/>
        <v>21921290.36833334</v>
      </c>
      <c r="I59" s="311"/>
      <c r="J59" s="312"/>
      <c r="K59" s="313"/>
      <c r="L59" s="308">
        <v>0</v>
      </c>
      <c r="M59" s="314">
        <v>0</v>
      </c>
      <c r="N59" s="314">
        <v>0</v>
      </c>
      <c r="O59" s="314">
        <v>50</v>
      </c>
      <c r="P59" s="314">
        <v>0</v>
      </c>
      <c r="Q59" s="314">
        <f t="shared" si="41"/>
        <v>0</v>
      </c>
      <c r="R59" s="314">
        <f t="shared" si="43"/>
        <v>0</v>
      </c>
      <c r="S59" s="314">
        <f t="shared" si="44"/>
        <v>1000</v>
      </c>
      <c r="T59" s="314">
        <f t="shared" si="45"/>
        <v>0</v>
      </c>
      <c r="U59" s="308">
        <f t="shared" si="49"/>
        <v>838000</v>
      </c>
      <c r="V59" s="308">
        <f t="shared" si="46"/>
        <v>33242000</v>
      </c>
      <c r="W59" s="308">
        <f t="shared" si="47"/>
        <v>2380000</v>
      </c>
      <c r="X59" s="308">
        <f t="shared" si="48"/>
        <v>70290709.63166669</v>
      </c>
    </row>
    <row r="60" spans="2:24" x14ac:dyDescent="0.25">
      <c r="B60" s="315">
        <f t="shared" si="42"/>
        <v>48</v>
      </c>
      <c r="C60" s="316">
        <f>((SUM('Startup Phase (1-4 months)'!M12:M23))/12)+('Startup Phase (1-4 months)'!M73/12)</f>
        <v>158262.98333333331</v>
      </c>
      <c r="D60" s="319">
        <f>(('Beta Phase (5-8 months)'!M19)/12)+('Beta Phase (5-8 months)'!M41)</f>
        <v>367213.34166666667</v>
      </c>
      <c r="E60" s="316">
        <f>(('Prod Ready phase (9-12 months)'!M23)/12)</f>
        <v>84687.763333333336</v>
      </c>
      <c r="F60" s="316"/>
      <c r="G60" s="316">
        <f t="shared" si="2"/>
        <v>610164.08833333326</v>
      </c>
      <c r="H60" s="316">
        <f t="shared" si="3"/>
        <v>22531454.456666674</v>
      </c>
      <c r="I60" s="302"/>
      <c r="J60" s="303"/>
      <c r="K60" s="304"/>
      <c r="L60" s="316">
        <v>0</v>
      </c>
      <c r="M60" s="306">
        <v>0</v>
      </c>
      <c r="N60" s="306">
        <v>0</v>
      </c>
      <c r="O60" s="306">
        <v>50</v>
      </c>
      <c r="P60" s="306">
        <v>0</v>
      </c>
      <c r="Q60" s="306">
        <f t="shared" si="41"/>
        <v>0</v>
      </c>
      <c r="R60" s="306">
        <f t="shared" si="43"/>
        <v>0</v>
      </c>
      <c r="S60" s="306">
        <f t="shared" si="44"/>
        <v>1000</v>
      </c>
      <c r="T60" s="306">
        <f t="shared" si="45"/>
        <v>0</v>
      </c>
      <c r="U60" s="316">
        <f t="shared" si="49"/>
        <v>838000</v>
      </c>
      <c r="V60" s="316">
        <f t="shared" si="46"/>
        <v>34080000</v>
      </c>
      <c r="W60" s="316">
        <f t="shared" si="47"/>
        <v>2380000</v>
      </c>
      <c r="X60" s="316">
        <f t="shared" si="48"/>
        <v>72060545.543333352</v>
      </c>
    </row>
    <row r="61" spans="2:24" x14ac:dyDescent="0.25">
      <c r="B61" s="307">
        <f t="shared" si="42"/>
        <v>49</v>
      </c>
      <c r="C61" s="308">
        <f>((SUM('Startup Phase (1-4 months)'!M12:M23))/12)+('Startup Phase (1-4 months)'!M73/12)+('Startup Phase (1-4 months)'!M60)+('Startup Phase (1-4 months)'!M61)+('Startup Phase (1-4 months)'!M62)+('Startup Phase (1-4 months)'!M63)</f>
        <v>263262.98333333328</v>
      </c>
      <c r="D61" s="318">
        <f>(('Beta Phase (5-8 months)'!M19)/12)</f>
        <v>57213.341666666667</v>
      </c>
      <c r="E61" s="308">
        <f>(('Prod Ready phase (9-12 months)'!M23)/12)</f>
        <v>84687.763333333336</v>
      </c>
      <c r="F61" s="308"/>
      <c r="G61" s="308">
        <f t="shared" si="2"/>
        <v>405164.08833333326</v>
      </c>
      <c r="H61" s="308">
        <f t="shared" si="3"/>
        <v>22936618.545000009</v>
      </c>
      <c r="I61" s="311"/>
      <c r="J61" s="312"/>
      <c r="K61" s="313"/>
      <c r="L61" s="308">
        <v>0</v>
      </c>
      <c r="M61" s="314">
        <v>0</v>
      </c>
      <c r="N61" s="314">
        <v>0</v>
      </c>
      <c r="O61" s="314">
        <v>50</v>
      </c>
      <c r="P61" s="314">
        <v>0</v>
      </c>
      <c r="Q61" s="314">
        <f t="shared" si="41"/>
        <v>0</v>
      </c>
      <c r="R61" s="314">
        <f t="shared" si="43"/>
        <v>0</v>
      </c>
      <c r="S61" s="314">
        <f t="shared" si="44"/>
        <v>1000</v>
      </c>
      <c r="T61" s="314">
        <f t="shared" si="45"/>
        <v>0</v>
      </c>
      <c r="U61" s="308">
        <f>(Q61*$O$4)+(R61*$O$5)+(S61*$O$6)+(T61*$O$7)</f>
        <v>796000</v>
      </c>
      <c r="V61" s="308">
        <f t="shared" si="46"/>
        <v>34876000</v>
      </c>
      <c r="W61" s="308">
        <f t="shared" si="47"/>
        <v>2380000</v>
      </c>
      <c r="X61" s="308">
        <f t="shared" si="48"/>
        <v>74035381.455000013</v>
      </c>
    </row>
    <row r="62" spans="2:24" x14ac:dyDescent="0.25">
      <c r="B62" s="315">
        <f t="shared" si="42"/>
        <v>50</v>
      </c>
      <c r="C62" s="316">
        <f>((SUM('Startup Phase (1-4 months)'!M12:M23))/12)+('Startup Phase (1-4 months)'!M73/12)</f>
        <v>158262.98333333331</v>
      </c>
      <c r="D62" s="319">
        <f>(('Beta Phase (5-8 months)'!M19)/12)+('Beta Phase (5-8 months)'!M41)</f>
        <v>367213.34166666667</v>
      </c>
      <c r="E62" s="316">
        <f>(('Prod Ready phase (9-12 months)'!M23)/12)</f>
        <v>84687.763333333336</v>
      </c>
      <c r="F62" s="316"/>
      <c r="G62" s="316">
        <f t="shared" si="2"/>
        <v>610164.08833333326</v>
      </c>
      <c r="H62" s="316">
        <f t="shared" si="3"/>
        <v>23546782.633333344</v>
      </c>
      <c r="I62" s="302"/>
      <c r="J62" s="303"/>
      <c r="K62" s="304"/>
      <c r="L62" s="316">
        <v>0</v>
      </c>
      <c r="M62" s="306">
        <v>0</v>
      </c>
      <c r="N62" s="306">
        <v>0</v>
      </c>
      <c r="O62" s="306">
        <v>50</v>
      </c>
      <c r="P62" s="306">
        <v>0</v>
      </c>
      <c r="Q62" s="306">
        <f t="shared" si="41"/>
        <v>0</v>
      </c>
      <c r="R62" s="306">
        <f t="shared" si="43"/>
        <v>0</v>
      </c>
      <c r="S62" s="306">
        <f t="shared" si="44"/>
        <v>1000</v>
      </c>
      <c r="T62" s="306">
        <f t="shared" si="45"/>
        <v>0</v>
      </c>
      <c r="U62" s="316">
        <f t="shared" ref="U62:U72" si="50">(Q62*$O$4)+(R62*$O$5)+(S62*$O$6)+(T62*$O$7)</f>
        <v>796000</v>
      </c>
      <c r="V62" s="316">
        <f t="shared" si="46"/>
        <v>35672000</v>
      </c>
      <c r="W62" s="316">
        <f t="shared" si="47"/>
        <v>2380000</v>
      </c>
      <c r="X62" s="316">
        <f t="shared" si="48"/>
        <v>75805217.366666675</v>
      </c>
    </row>
    <row r="63" spans="2:24" x14ac:dyDescent="0.25">
      <c r="B63" s="307">
        <f t="shared" si="42"/>
        <v>51</v>
      </c>
      <c r="C63" s="308">
        <f>((SUM('Startup Phase (1-4 months)'!M12:M23))/12)+('Startup Phase (1-4 months)'!M73/12)</f>
        <v>158262.98333333331</v>
      </c>
      <c r="D63" s="318">
        <f>(('Beta Phase (5-8 months)'!M19)/12)</f>
        <v>57213.341666666667</v>
      </c>
      <c r="E63" s="308">
        <f>(('Prod Ready phase (9-12 months)'!M23)/12)</f>
        <v>84687.763333333336</v>
      </c>
      <c r="F63" s="308"/>
      <c r="G63" s="308">
        <f t="shared" si="2"/>
        <v>300164.08833333332</v>
      </c>
      <c r="H63" s="308">
        <f t="shared" si="3"/>
        <v>23846946.721666679</v>
      </c>
      <c r="I63" s="311"/>
      <c r="J63" s="312"/>
      <c r="K63" s="313"/>
      <c r="L63" s="308">
        <v>0</v>
      </c>
      <c r="M63" s="314">
        <v>0</v>
      </c>
      <c r="N63" s="314">
        <v>0</v>
      </c>
      <c r="O63" s="314">
        <v>50</v>
      </c>
      <c r="P63" s="314">
        <v>0</v>
      </c>
      <c r="Q63" s="314">
        <f t="shared" si="41"/>
        <v>0</v>
      </c>
      <c r="R63" s="314">
        <f t="shared" si="43"/>
        <v>0</v>
      </c>
      <c r="S63" s="314">
        <f t="shared" si="44"/>
        <v>1000</v>
      </c>
      <c r="T63" s="314">
        <f t="shared" si="45"/>
        <v>0</v>
      </c>
      <c r="U63" s="308">
        <f t="shared" si="50"/>
        <v>796000</v>
      </c>
      <c r="V63" s="308">
        <f t="shared" si="46"/>
        <v>36468000</v>
      </c>
      <c r="W63" s="308">
        <f t="shared" si="47"/>
        <v>2380000</v>
      </c>
      <c r="X63" s="308">
        <f t="shared" si="48"/>
        <v>77885053.278333336</v>
      </c>
    </row>
    <row r="64" spans="2:24" x14ac:dyDescent="0.25">
      <c r="B64" s="315">
        <f t="shared" si="42"/>
        <v>52</v>
      </c>
      <c r="C64" s="316">
        <f>((SUM('Startup Phase (1-4 months)'!M12:M23))/12)+('Startup Phase (1-4 months)'!M73/12)</f>
        <v>158262.98333333331</v>
      </c>
      <c r="D64" s="319">
        <f>(('Beta Phase (5-8 months)'!M19)/12)+('Beta Phase (5-8 months)'!M41)</f>
        <v>367213.34166666667</v>
      </c>
      <c r="E64" s="316">
        <f>(('Prod Ready phase (9-12 months)'!M23)/12)</f>
        <v>84687.763333333336</v>
      </c>
      <c r="F64" s="316"/>
      <c r="G64" s="316">
        <f t="shared" si="2"/>
        <v>610164.08833333326</v>
      </c>
      <c r="H64" s="316">
        <f t="shared" si="3"/>
        <v>24457110.810000014</v>
      </c>
      <c r="I64" s="302"/>
      <c r="J64" s="303"/>
      <c r="K64" s="304"/>
      <c r="L64" s="316">
        <v>0</v>
      </c>
      <c r="M64" s="306">
        <v>0</v>
      </c>
      <c r="N64" s="306">
        <v>0</v>
      </c>
      <c r="O64" s="306">
        <v>50</v>
      </c>
      <c r="P64" s="306">
        <v>0</v>
      </c>
      <c r="Q64" s="306">
        <f t="shared" si="41"/>
        <v>0</v>
      </c>
      <c r="R64" s="306">
        <f t="shared" si="43"/>
        <v>0</v>
      </c>
      <c r="S64" s="306">
        <f t="shared" si="44"/>
        <v>1000</v>
      </c>
      <c r="T64" s="306">
        <f t="shared" si="45"/>
        <v>0</v>
      </c>
      <c r="U64" s="316">
        <f t="shared" si="50"/>
        <v>796000</v>
      </c>
      <c r="V64" s="316">
        <f t="shared" si="46"/>
        <v>37264000</v>
      </c>
      <c r="W64" s="316">
        <f t="shared" si="47"/>
        <v>2380000</v>
      </c>
      <c r="X64" s="316">
        <f t="shared" si="48"/>
        <v>79654889.189999998</v>
      </c>
    </row>
    <row r="65" spans="2:24" x14ac:dyDescent="0.25">
      <c r="B65" s="307">
        <f t="shared" si="42"/>
        <v>53</v>
      </c>
      <c r="C65" s="308">
        <f>((SUM('Startup Phase (1-4 months)'!M12:M23))/12)+('Startup Phase (1-4 months)'!M73/12)</f>
        <v>158262.98333333331</v>
      </c>
      <c r="D65" s="318">
        <f>(('Beta Phase (5-8 months)'!M19)/12)</f>
        <v>57213.341666666667</v>
      </c>
      <c r="E65" s="308">
        <f>(('Prod Ready phase (9-12 months)'!M23)/12)</f>
        <v>84687.763333333336</v>
      </c>
      <c r="F65" s="308"/>
      <c r="G65" s="308">
        <f t="shared" si="2"/>
        <v>300164.08833333332</v>
      </c>
      <c r="H65" s="308">
        <f t="shared" si="3"/>
        <v>24757274.898333348</v>
      </c>
      <c r="I65" s="311"/>
      <c r="J65" s="312"/>
      <c r="K65" s="313"/>
      <c r="L65" s="308">
        <v>0</v>
      </c>
      <c r="M65" s="314">
        <v>0</v>
      </c>
      <c r="N65" s="314">
        <v>0</v>
      </c>
      <c r="O65" s="314">
        <v>50</v>
      </c>
      <c r="P65" s="314">
        <v>0</v>
      </c>
      <c r="Q65" s="314">
        <f t="shared" si="41"/>
        <v>0</v>
      </c>
      <c r="R65" s="314">
        <f t="shared" si="43"/>
        <v>0</v>
      </c>
      <c r="S65" s="314">
        <f t="shared" si="44"/>
        <v>1000</v>
      </c>
      <c r="T65" s="314">
        <f t="shared" si="45"/>
        <v>0</v>
      </c>
      <c r="U65" s="308">
        <f t="shared" si="50"/>
        <v>796000</v>
      </c>
      <c r="V65" s="308">
        <f t="shared" si="46"/>
        <v>38060000</v>
      </c>
      <c r="W65" s="308">
        <f t="shared" si="47"/>
        <v>2380000</v>
      </c>
      <c r="X65" s="308">
        <f t="shared" si="48"/>
        <v>81734725.101666659</v>
      </c>
    </row>
    <row r="66" spans="2:24" x14ac:dyDescent="0.25">
      <c r="B66" s="315">
        <f t="shared" si="42"/>
        <v>54</v>
      </c>
      <c r="C66" s="316">
        <f>((SUM('Startup Phase (1-4 months)'!M12:M23))/12)+('Startup Phase (1-4 months)'!M73/12)</f>
        <v>158262.98333333331</v>
      </c>
      <c r="D66" s="319">
        <f>(('Beta Phase (5-8 months)'!M19)/12)+('Beta Phase (5-8 months)'!M41)</f>
        <v>367213.34166666667</v>
      </c>
      <c r="E66" s="316">
        <f>(('Prod Ready phase (9-12 months)'!M23)/12)</f>
        <v>84687.763333333336</v>
      </c>
      <c r="F66" s="316"/>
      <c r="G66" s="316">
        <f t="shared" si="2"/>
        <v>610164.08833333326</v>
      </c>
      <c r="H66" s="316">
        <f t="shared" si="3"/>
        <v>25367438.986666683</v>
      </c>
      <c r="I66" s="302"/>
      <c r="J66" s="303"/>
      <c r="K66" s="304"/>
      <c r="L66" s="316">
        <v>0</v>
      </c>
      <c r="M66" s="306">
        <v>0</v>
      </c>
      <c r="N66" s="306">
        <v>0</v>
      </c>
      <c r="O66" s="306">
        <v>50</v>
      </c>
      <c r="P66" s="306">
        <v>0</v>
      </c>
      <c r="Q66" s="306">
        <f t="shared" si="41"/>
        <v>0</v>
      </c>
      <c r="R66" s="306">
        <f t="shared" si="43"/>
        <v>0</v>
      </c>
      <c r="S66" s="306">
        <f t="shared" si="44"/>
        <v>1000</v>
      </c>
      <c r="T66" s="306">
        <f t="shared" si="45"/>
        <v>0</v>
      </c>
      <c r="U66" s="316">
        <f t="shared" si="50"/>
        <v>796000</v>
      </c>
      <c r="V66" s="316">
        <f t="shared" si="46"/>
        <v>38856000</v>
      </c>
      <c r="W66" s="316">
        <f t="shared" si="47"/>
        <v>2380000</v>
      </c>
      <c r="X66" s="316">
        <f t="shared" si="48"/>
        <v>83504561.013333321</v>
      </c>
    </row>
    <row r="67" spans="2:24" x14ac:dyDescent="0.25">
      <c r="B67" s="307">
        <f t="shared" si="42"/>
        <v>55</v>
      </c>
      <c r="C67" s="308">
        <f>((SUM('Startup Phase (1-4 months)'!M12:M23))/12)+('Startup Phase (1-4 months)'!M73/12)</f>
        <v>158262.98333333331</v>
      </c>
      <c r="D67" s="318">
        <f>(('Beta Phase (5-8 months)'!M19)/12)</f>
        <v>57213.341666666667</v>
      </c>
      <c r="E67" s="308">
        <f>(('Prod Ready phase (9-12 months)'!M23)/12)</f>
        <v>84687.763333333336</v>
      </c>
      <c r="F67" s="308"/>
      <c r="G67" s="308">
        <f t="shared" si="2"/>
        <v>300164.08833333332</v>
      </c>
      <c r="H67" s="308">
        <f t="shared" si="3"/>
        <v>25667603.075000018</v>
      </c>
      <c r="I67" s="311"/>
      <c r="J67" s="312"/>
      <c r="K67" s="313"/>
      <c r="L67" s="308">
        <v>0</v>
      </c>
      <c r="M67" s="314">
        <v>0</v>
      </c>
      <c r="N67" s="314">
        <v>0</v>
      </c>
      <c r="O67" s="314">
        <v>50</v>
      </c>
      <c r="P67" s="314">
        <v>0</v>
      </c>
      <c r="Q67" s="314">
        <f t="shared" si="41"/>
        <v>0</v>
      </c>
      <c r="R67" s="314">
        <f t="shared" si="43"/>
        <v>0</v>
      </c>
      <c r="S67" s="314">
        <f t="shared" si="44"/>
        <v>1000</v>
      </c>
      <c r="T67" s="314">
        <f t="shared" si="45"/>
        <v>0</v>
      </c>
      <c r="U67" s="308">
        <f t="shared" si="50"/>
        <v>796000</v>
      </c>
      <c r="V67" s="308">
        <f t="shared" si="46"/>
        <v>39652000</v>
      </c>
      <c r="W67" s="308">
        <f t="shared" si="47"/>
        <v>2380000</v>
      </c>
      <c r="X67" s="308">
        <f t="shared" si="48"/>
        <v>85584396.924999982</v>
      </c>
    </row>
    <row r="68" spans="2:24" x14ac:dyDescent="0.25">
      <c r="B68" s="315">
        <f t="shared" si="42"/>
        <v>56</v>
      </c>
      <c r="C68" s="316">
        <f>((SUM('Startup Phase (1-4 months)'!M12:M23))/12)+('Startup Phase (1-4 months)'!M73/12)</f>
        <v>158262.98333333331</v>
      </c>
      <c r="D68" s="319">
        <f>(('Beta Phase (5-8 months)'!M19)/12)+('Beta Phase (5-8 months)'!M41)</f>
        <v>367213.34166666667</v>
      </c>
      <c r="E68" s="316">
        <f>(('Prod Ready phase (9-12 months)'!M23)/12)</f>
        <v>84687.763333333336</v>
      </c>
      <c r="F68" s="316"/>
      <c r="G68" s="316">
        <f t="shared" si="2"/>
        <v>610164.08833333326</v>
      </c>
      <c r="H68" s="316">
        <f t="shared" si="3"/>
        <v>26277767.163333353</v>
      </c>
      <c r="I68" s="302"/>
      <c r="J68" s="303"/>
      <c r="K68" s="304"/>
      <c r="L68" s="316">
        <v>0</v>
      </c>
      <c r="M68" s="306">
        <v>0</v>
      </c>
      <c r="N68" s="306">
        <v>0</v>
      </c>
      <c r="O68" s="306">
        <v>50</v>
      </c>
      <c r="P68" s="306">
        <v>0</v>
      </c>
      <c r="Q68" s="306">
        <f t="shared" si="41"/>
        <v>0</v>
      </c>
      <c r="R68" s="306">
        <f t="shared" si="43"/>
        <v>0</v>
      </c>
      <c r="S68" s="306">
        <f t="shared" si="44"/>
        <v>1000</v>
      </c>
      <c r="T68" s="306">
        <f t="shared" si="45"/>
        <v>0</v>
      </c>
      <c r="U68" s="316">
        <f t="shared" si="50"/>
        <v>796000</v>
      </c>
      <c r="V68" s="316">
        <f t="shared" si="46"/>
        <v>40448000</v>
      </c>
      <c r="W68" s="316">
        <f t="shared" si="47"/>
        <v>2380000</v>
      </c>
      <c r="X68" s="316">
        <f t="shared" si="48"/>
        <v>87354232.836666644</v>
      </c>
    </row>
    <row r="69" spans="2:24" x14ac:dyDescent="0.25">
      <c r="B69" s="307">
        <f t="shared" si="42"/>
        <v>57</v>
      </c>
      <c r="C69" s="308">
        <f>((SUM('Startup Phase (1-4 months)'!M12:M23))/12)+('Startup Phase (1-4 months)'!M73/12)</f>
        <v>158262.98333333331</v>
      </c>
      <c r="D69" s="318">
        <f>(('Beta Phase (5-8 months)'!M19)/12)</f>
        <v>57213.341666666667</v>
      </c>
      <c r="E69" s="308">
        <f>(('Prod Ready phase (9-12 months)'!M23)/12)</f>
        <v>84687.763333333336</v>
      </c>
      <c r="F69" s="308"/>
      <c r="G69" s="308">
        <f t="shared" si="2"/>
        <v>300164.08833333332</v>
      </c>
      <c r="H69" s="308">
        <f t="shared" si="3"/>
        <v>26577931.251666687</v>
      </c>
      <c r="I69" s="311"/>
      <c r="J69" s="312"/>
      <c r="K69" s="313"/>
      <c r="L69" s="308">
        <v>0</v>
      </c>
      <c r="M69" s="314">
        <v>0</v>
      </c>
      <c r="N69" s="314">
        <v>0</v>
      </c>
      <c r="O69" s="314">
        <v>50</v>
      </c>
      <c r="P69" s="314">
        <v>0</v>
      </c>
      <c r="Q69" s="314">
        <f t="shared" si="41"/>
        <v>0</v>
      </c>
      <c r="R69" s="314">
        <f t="shared" si="43"/>
        <v>0</v>
      </c>
      <c r="S69" s="314">
        <f t="shared" si="44"/>
        <v>1000</v>
      </c>
      <c r="T69" s="314">
        <f t="shared" si="45"/>
        <v>0</v>
      </c>
      <c r="U69" s="308">
        <f t="shared" si="50"/>
        <v>796000</v>
      </c>
      <c r="V69" s="308">
        <f t="shared" si="46"/>
        <v>41244000</v>
      </c>
      <c r="W69" s="308">
        <f t="shared" si="47"/>
        <v>2380000</v>
      </c>
      <c r="X69" s="308">
        <f t="shared" si="48"/>
        <v>89434068.748333305</v>
      </c>
    </row>
    <row r="70" spans="2:24" x14ac:dyDescent="0.25">
      <c r="B70" s="315">
        <f t="shared" si="42"/>
        <v>58</v>
      </c>
      <c r="C70" s="316">
        <f>((SUM('Startup Phase (1-4 months)'!M12:M23))/12)+('Startup Phase (1-4 months)'!M73/12)</f>
        <v>158262.98333333331</v>
      </c>
      <c r="D70" s="319">
        <f>(('Beta Phase (5-8 months)'!M19)/12)+('Beta Phase (5-8 months)'!M41)</f>
        <v>367213.34166666667</v>
      </c>
      <c r="E70" s="316">
        <f>(('Prod Ready phase (9-12 months)'!M23)/12)</f>
        <v>84687.763333333336</v>
      </c>
      <c r="F70" s="316"/>
      <c r="G70" s="316">
        <f t="shared" si="2"/>
        <v>610164.08833333326</v>
      </c>
      <c r="H70" s="316">
        <f t="shared" si="3"/>
        <v>27188095.340000022</v>
      </c>
      <c r="I70" s="302"/>
      <c r="J70" s="303"/>
      <c r="K70" s="304"/>
      <c r="L70" s="316">
        <v>0</v>
      </c>
      <c r="M70" s="306">
        <v>0</v>
      </c>
      <c r="N70" s="306">
        <v>0</v>
      </c>
      <c r="O70" s="306">
        <v>50</v>
      </c>
      <c r="P70" s="306">
        <v>0</v>
      </c>
      <c r="Q70" s="306">
        <f t="shared" si="41"/>
        <v>0</v>
      </c>
      <c r="R70" s="306">
        <f t="shared" si="43"/>
        <v>0</v>
      </c>
      <c r="S70" s="306">
        <f t="shared" si="44"/>
        <v>1000</v>
      </c>
      <c r="T70" s="306">
        <f t="shared" si="45"/>
        <v>0</v>
      </c>
      <c r="U70" s="316">
        <f t="shared" si="50"/>
        <v>796000</v>
      </c>
      <c r="V70" s="316">
        <f t="shared" si="46"/>
        <v>42040000</v>
      </c>
      <c r="W70" s="316">
        <f t="shared" si="47"/>
        <v>2380000</v>
      </c>
      <c r="X70" s="316">
        <f t="shared" si="48"/>
        <v>91203904.659999967</v>
      </c>
    </row>
    <row r="71" spans="2:24" x14ac:dyDescent="0.25">
      <c r="B71" s="307">
        <f t="shared" si="42"/>
        <v>59</v>
      </c>
      <c r="C71" s="308">
        <f>((SUM('Startup Phase (1-4 months)'!M12:M23))/12)+('Startup Phase (1-4 months)'!M73/12)</f>
        <v>158262.98333333331</v>
      </c>
      <c r="D71" s="318">
        <f>(('Beta Phase (5-8 months)'!M19)/12)</f>
        <v>57213.341666666667</v>
      </c>
      <c r="E71" s="308">
        <f>(('Prod Ready phase (9-12 months)'!M23)/12)</f>
        <v>84687.763333333336</v>
      </c>
      <c r="F71" s="308"/>
      <c r="G71" s="308">
        <f t="shared" si="2"/>
        <v>300164.08833333332</v>
      </c>
      <c r="H71" s="308">
        <f t="shared" si="3"/>
        <v>27488259.428333357</v>
      </c>
      <c r="I71" s="311"/>
      <c r="J71" s="312"/>
      <c r="K71" s="313"/>
      <c r="L71" s="308">
        <v>0</v>
      </c>
      <c r="M71" s="314">
        <v>0</v>
      </c>
      <c r="N71" s="314">
        <v>0</v>
      </c>
      <c r="O71" s="314">
        <v>50</v>
      </c>
      <c r="P71" s="314">
        <v>0</v>
      </c>
      <c r="Q71" s="314">
        <f t="shared" si="41"/>
        <v>0</v>
      </c>
      <c r="R71" s="314">
        <f t="shared" si="43"/>
        <v>0</v>
      </c>
      <c r="S71" s="314">
        <f t="shared" si="44"/>
        <v>1000</v>
      </c>
      <c r="T71" s="314">
        <f t="shared" si="45"/>
        <v>0</v>
      </c>
      <c r="U71" s="308">
        <f t="shared" si="50"/>
        <v>796000</v>
      </c>
      <c r="V71" s="308">
        <f t="shared" si="46"/>
        <v>42836000</v>
      </c>
      <c r="W71" s="308">
        <f t="shared" si="47"/>
        <v>2380000</v>
      </c>
      <c r="X71" s="308">
        <f t="shared" si="48"/>
        <v>93283740.571666628</v>
      </c>
    </row>
    <row r="72" spans="2:24" x14ac:dyDescent="0.25">
      <c r="B72" s="315">
        <f t="shared" si="42"/>
        <v>60</v>
      </c>
      <c r="C72" s="316">
        <f>((SUM('Startup Phase (1-4 months)'!M12:M23))/12)+('Startup Phase (1-4 months)'!M73/12)</f>
        <v>158262.98333333331</v>
      </c>
      <c r="D72" s="319">
        <f>(('Beta Phase (5-8 months)'!M19)/12)+('Beta Phase (5-8 months)'!M41)</f>
        <v>367213.34166666667</v>
      </c>
      <c r="E72" s="316">
        <f>(('Prod Ready phase (9-12 months)'!M23)/12)</f>
        <v>84687.763333333336</v>
      </c>
      <c r="F72" s="316"/>
      <c r="G72" s="316">
        <f t="shared" si="2"/>
        <v>610164.08833333326</v>
      </c>
      <c r="H72" s="316">
        <f t="shared" si="3"/>
        <v>28098423.516666692</v>
      </c>
      <c r="I72" s="302"/>
      <c r="J72" s="303"/>
      <c r="K72" s="304"/>
      <c r="L72" s="316">
        <v>0</v>
      </c>
      <c r="M72" s="306">
        <v>0</v>
      </c>
      <c r="N72" s="306">
        <v>0</v>
      </c>
      <c r="O72" s="306">
        <v>50</v>
      </c>
      <c r="P72" s="306">
        <v>0</v>
      </c>
      <c r="Q72" s="306">
        <f t="shared" si="41"/>
        <v>0</v>
      </c>
      <c r="R72" s="306">
        <f t="shared" si="43"/>
        <v>0</v>
      </c>
      <c r="S72" s="306">
        <f t="shared" si="44"/>
        <v>1000</v>
      </c>
      <c r="T72" s="306">
        <f t="shared" si="45"/>
        <v>0</v>
      </c>
      <c r="U72" s="316">
        <f t="shared" si="50"/>
        <v>796000</v>
      </c>
      <c r="V72" s="316">
        <f t="shared" si="46"/>
        <v>43632000</v>
      </c>
      <c r="W72" s="316">
        <f t="shared" si="47"/>
        <v>2380000</v>
      </c>
      <c r="X72" s="316">
        <f t="shared" si="48"/>
        <v>95053576.48333329</v>
      </c>
    </row>
    <row r="73" spans="2:24" x14ac:dyDescent="0.25">
      <c r="B73" s="307">
        <f t="shared" si="42"/>
        <v>61</v>
      </c>
      <c r="C73" s="308">
        <f>((SUM('Startup Phase (1-4 months)'!M12:M23))/12)+('Startup Phase (1-4 months)'!M73/12)+('Startup Phase (1-4 months)'!M60)+('Startup Phase (1-4 months)'!M61)+('Startup Phase (1-4 months)'!M62)+('Startup Phase (1-4 months)'!M63)</f>
        <v>263262.98333333328</v>
      </c>
      <c r="D73" s="318">
        <f>(('Beta Phase (5-8 months)'!M19)/12)</f>
        <v>57213.341666666667</v>
      </c>
      <c r="E73" s="308">
        <f>(('Prod Ready phase (9-12 months)'!M23)/12)</f>
        <v>84687.763333333336</v>
      </c>
      <c r="F73" s="308"/>
      <c r="G73" s="308">
        <f t="shared" si="2"/>
        <v>405164.08833333326</v>
      </c>
      <c r="H73" s="308">
        <f t="shared" si="3"/>
        <v>28503587.605000027</v>
      </c>
      <c r="I73" s="311"/>
      <c r="J73" s="312"/>
      <c r="K73" s="313"/>
      <c r="L73" s="308">
        <v>0</v>
      </c>
      <c r="M73" s="314">
        <v>0</v>
      </c>
      <c r="N73" s="314">
        <v>0</v>
      </c>
      <c r="O73" s="314">
        <v>50</v>
      </c>
      <c r="P73" s="314">
        <v>0</v>
      </c>
      <c r="Q73" s="314">
        <f t="shared" si="41"/>
        <v>0</v>
      </c>
      <c r="R73" s="314">
        <f t="shared" si="43"/>
        <v>0</v>
      </c>
      <c r="S73" s="314">
        <f t="shared" si="44"/>
        <v>1000</v>
      </c>
      <c r="T73" s="314">
        <f t="shared" si="45"/>
        <v>0</v>
      </c>
      <c r="U73" s="308">
        <f>(Q73*$P$4)+(R73*$P$5)+(S73*$P$6)+(T73*$P$7)</f>
        <v>796000</v>
      </c>
      <c r="V73" s="308">
        <f t="shared" si="46"/>
        <v>44428000</v>
      </c>
      <c r="W73" s="308">
        <f t="shared" si="47"/>
        <v>2380000</v>
      </c>
      <c r="X73" s="308">
        <f t="shared" si="48"/>
        <v>97028412.394999951</v>
      </c>
    </row>
    <row r="74" spans="2:24" x14ac:dyDescent="0.25">
      <c r="B74" s="315">
        <f t="shared" si="42"/>
        <v>62</v>
      </c>
      <c r="C74" s="316">
        <f>((SUM('Startup Phase (1-4 months)'!M12:M23))/12)+('Startup Phase (1-4 months)'!M73/12)</f>
        <v>158262.98333333331</v>
      </c>
      <c r="D74" s="319">
        <f>(('Beta Phase (5-8 months)'!M19)/12)+('Beta Phase (5-8 months)'!M41)</f>
        <v>367213.34166666667</v>
      </c>
      <c r="E74" s="316">
        <f>(('Prod Ready phase (9-12 months)'!M23)/12)</f>
        <v>84687.763333333336</v>
      </c>
      <c r="F74" s="316"/>
      <c r="G74" s="316">
        <f t="shared" si="2"/>
        <v>610164.08833333326</v>
      </c>
      <c r="H74" s="316">
        <f t="shared" si="3"/>
        <v>29113751.693333361</v>
      </c>
      <c r="I74" s="302"/>
      <c r="J74" s="303"/>
      <c r="K74" s="304"/>
      <c r="L74" s="316">
        <v>0</v>
      </c>
      <c r="M74" s="306">
        <v>0</v>
      </c>
      <c r="N74" s="306">
        <v>0</v>
      </c>
      <c r="O74" s="306">
        <v>50</v>
      </c>
      <c r="P74" s="306">
        <v>0</v>
      </c>
      <c r="Q74" s="306">
        <f t="shared" si="41"/>
        <v>0</v>
      </c>
      <c r="R74" s="306">
        <f t="shared" si="43"/>
        <v>0</v>
      </c>
      <c r="S74" s="306">
        <f t="shared" si="44"/>
        <v>1000</v>
      </c>
      <c r="T74" s="306">
        <f t="shared" si="45"/>
        <v>0</v>
      </c>
      <c r="U74" s="316">
        <f t="shared" ref="U74:U84" si="51">(Q74*$P$4)+(R74*$P$5)+(S74*$P$6)+(T74*$P$7)</f>
        <v>796000</v>
      </c>
      <c r="V74" s="316">
        <f t="shared" si="46"/>
        <v>45224000</v>
      </c>
      <c r="W74" s="316">
        <f t="shared" si="47"/>
        <v>2380000</v>
      </c>
      <c r="X74" s="316">
        <f t="shared" si="48"/>
        <v>98798248.306666613</v>
      </c>
    </row>
    <row r="75" spans="2:24" x14ac:dyDescent="0.25">
      <c r="B75" s="307">
        <f t="shared" si="42"/>
        <v>63</v>
      </c>
      <c r="C75" s="308">
        <f>((SUM('Startup Phase (1-4 months)'!M12:M23))/12)+('Startup Phase (1-4 months)'!M73/12)</f>
        <v>158262.98333333331</v>
      </c>
      <c r="D75" s="318">
        <f>(('Beta Phase (5-8 months)'!M19)/12)</f>
        <v>57213.341666666667</v>
      </c>
      <c r="E75" s="308">
        <f>(('Prod Ready phase (9-12 months)'!M23)/12)</f>
        <v>84687.763333333336</v>
      </c>
      <c r="F75" s="308"/>
      <c r="G75" s="308">
        <f t="shared" si="2"/>
        <v>300164.08833333332</v>
      </c>
      <c r="H75" s="308">
        <f t="shared" si="3"/>
        <v>29413915.781666696</v>
      </c>
      <c r="I75" s="311"/>
      <c r="J75" s="312"/>
      <c r="K75" s="313"/>
      <c r="L75" s="308">
        <v>0</v>
      </c>
      <c r="M75" s="314">
        <v>0</v>
      </c>
      <c r="N75" s="314">
        <v>0</v>
      </c>
      <c r="O75" s="314">
        <v>50</v>
      </c>
      <c r="P75" s="314">
        <v>0</v>
      </c>
      <c r="Q75" s="314">
        <f t="shared" si="41"/>
        <v>0</v>
      </c>
      <c r="R75" s="314">
        <f t="shared" si="43"/>
        <v>0</v>
      </c>
      <c r="S75" s="314">
        <f t="shared" si="44"/>
        <v>1000</v>
      </c>
      <c r="T75" s="314">
        <f t="shared" si="45"/>
        <v>0</v>
      </c>
      <c r="U75" s="308">
        <f t="shared" si="51"/>
        <v>796000</v>
      </c>
      <c r="V75" s="308">
        <f t="shared" si="46"/>
        <v>46020000</v>
      </c>
      <c r="W75" s="308">
        <f t="shared" si="47"/>
        <v>2380000</v>
      </c>
      <c r="X75" s="308">
        <f t="shared" si="48"/>
        <v>100878084.21833327</v>
      </c>
    </row>
    <row r="76" spans="2:24" x14ac:dyDescent="0.25">
      <c r="B76" s="315">
        <f t="shared" si="42"/>
        <v>64</v>
      </c>
      <c r="C76" s="316">
        <f>((SUM('Startup Phase (1-4 months)'!M12:M23))/12)+('Startup Phase (1-4 months)'!M73/12)</f>
        <v>158262.98333333331</v>
      </c>
      <c r="D76" s="319">
        <f>(('Beta Phase (5-8 months)'!M19)/12)+('Beta Phase (5-8 months)'!M41)</f>
        <v>367213.34166666667</v>
      </c>
      <c r="E76" s="316">
        <f>(('Prod Ready phase (9-12 months)'!M23)/12)</f>
        <v>84687.763333333336</v>
      </c>
      <c r="F76" s="316"/>
      <c r="G76" s="316">
        <f t="shared" si="2"/>
        <v>610164.08833333326</v>
      </c>
      <c r="H76" s="316">
        <f t="shared" si="3"/>
        <v>30024079.870000031</v>
      </c>
      <c r="I76" s="302"/>
      <c r="J76" s="303"/>
      <c r="K76" s="304"/>
      <c r="L76" s="316">
        <v>0</v>
      </c>
      <c r="M76" s="306">
        <v>0</v>
      </c>
      <c r="N76" s="306">
        <v>0</v>
      </c>
      <c r="O76" s="306">
        <v>50</v>
      </c>
      <c r="P76" s="306">
        <v>0</v>
      </c>
      <c r="Q76" s="306">
        <f t="shared" si="41"/>
        <v>0</v>
      </c>
      <c r="R76" s="306">
        <f t="shared" si="43"/>
        <v>0</v>
      </c>
      <c r="S76" s="306">
        <f t="shared" si="44"/>
        <v>1000</v>
      </c>
      <c r="T76" s="306">
        <f t="shared" si="45"/>
        <v>0</v>
      </c>
      <c r="U76" s="316">
        <f t="shared" si="51"/>
        <v>796000</v>
      </c>
      <c r="V76" s="316">
        <f t="shared" si="46"/>
        <v>46816000</v>
      </c>
      <c r="W76" s="316">
        <f t="shared" si="47"/>
        <v>2380000</v>
      </c>
      <c r="X76" s="316">
        <f t="shared" si="48"/>
        <v>102647920.12999994</v>
      </c>
    </row>
    <row r="77" spans="2:24" x14ac:dyDescent="0.25">
      <c r="B77" s="307">
        <f t="shared" si="42"/>
        <v>65</v>
      </c>
      <c r="C77" s="308">
        <f>((SUM('Startup Phase (1-4 months)'!M12:M23))/12)+('Startup Phase (1-4 months)'!M73/12)</f>
        <v>158262.98333333331</v>
      </c>
      <c r="D77" s="318">
        <f>(('Beta Phase (5-8 months)'!M19)/12)</f>
        <v>57213.341666666667</v>
      </c>
      <c r="E77" s="308">
        <f>(('Prod Ready phase (9-12 months)'!M23)/12)</f>
        <v>84687.763333333336</v>
      </c>
      <c r="F77" s="308"/>
      <c r="G77" s="308">
        <f t="shared" si="2"/>
        <v>300164.08833333332</v>
      </c>
      <c r="H77" s="308">
        <f t="shared" si="3"/>
        <v>30324243.958333366</v>
      </c>
      <c r="I77" s="311"/>
      <c r="J77" s="312"/>
      <c r="K77" s="313"/>
      <c r="L77" s="308">
        <v>0</v>
      </c>
      <c r="M77" s="314">
        <v>0</v>
      </c>
      <c r="N77" s="314">
        <v>0</v>
      </c>
      <c r="O77" s="314">
        <v>50</v>
      </c>
      <c r="P77" s="314">
        <v>0</v>
      </c>
      <c r="Q77" s="314">
        <f t="shared" si="41"/>
        <v>0</v>
      </c>
      <c r="R77" s="314">
        <f t="shared" si="43"/>
        <v>0</v>
      </c>
      <c r="S77" s="314">
        <f t="shared" si="44"/>
        <v>1000</v>
      </c>
      <c r="T77" s="314">
        <f t="shared" si="45"/>
        <v>0</v>
      </c>
      <c r="U77" s="308">
        <f t="shared" si="51"/>
        <v>796000</v>
      </c>
      <c r="V77" s="308">
        <f t="shared" si="46"/>
        <v>47612000</v>
      </c>
      <c r="W77" s="308">
        <f t="shared" si="47"/>
        <v>2380000</v>
      </c>
      <c r="X77" s="308">
        <f t="shared" si="48"/>
        <v>104727756.0416666</v>
      </c>
    </row>
    <row r="78" spans="2:24" x14ac:dyDescent="0.25">
      <c r="B78" s="315">
        <f t="shared" si="42"/>
        <v>66</v>
      </c>
      <c r="C78" s="316">
        <f>((SUM('Startup Phase (1-4 months)'!M12:M23))/12)+('Startup Phase (1-4 months)'!M73/12)</f>
        <v>158262.98333333331</v>
      </c>
      <c r="D78" s="319">
        <f>(('Beta Phase (5-8 months)'!M19)/12)+('Beta Phase (5-8 months)'!M41)</f>
        <v>367213.34166666667</v>
      </c>
      <c r="E78" s="316">
        <f>(('Prod Ready phase (9-12 months)'!M23)/12)</f>
        <v>84687.763333333336</v>
      </c>
      <c r="F78" s="316"/>
      <c r="G78" s="316">
        <f t="shared" si="2"/>
        <v>610164.08833333326</v>
      </c>
      <c r="H78" s="316">
        <f t="shared" si="3"/>
        <v>30934408.0466667</v>
      </c>
      <c r="I78" s="302"/>
      <c r="J78" s="303"/>
      <c r="K78" s="304"/>
      <c r="L78" s="316">
        <v>0</v>
      </c>
      <c r="M78" s="306">
        <v>0</v>
      </c>
      <c r="N78" s="306">
        <v>0</v>
      </c>
      <c r="O78" s="306">
        <v>50</v>
      </c>
      <c r="P78" s="306">
        <v>0</v>
      </c>
      <c r="Q78" s="306">
        <f t="shared" si="41"/>
        <v>0</v>
      </c>
      <c r="R78" s="306">
        <f t="shared" si="43"/>
        <v>0</v>
      </c>
      <c r="S78" s="306">
        <f t="shared" si="44"/>
        <v>1000</v>
      </c>
      <c r="T78" s="306">
        <f t="shared" si="45"/>
        <v>0</v>
      </c>
      <c r="U78" s="316">
        <f t="shared" si="51"/>
        <v>796000</v>
      </c>
      <c r="V78" s="316">
        <f t="shared" si="46"/>
        <v>48408000</v>
      </c>
      <c r="W78" s="316">
        <f t="shared" si="47"/>
        <v>2380000</v>
      </c>
      <c r="X78" s="316">
        <f t="shared" si="48"/>
        <v>106497591.95333326</v>
      </c>
    </row>
    <row r="79" spans="2:24" x14ac:dyDescent="0.25">
      <c r="B79" s="307">
        <f t="shared" si="42"/>
        <v>67</v>
      </c>
      <c r="C79" s="308">
        <f>((SUM('Startup Phase (1-4 months)'!M12:M23))/12)+('Startup Phase (1-4 months)'!M73/12)</f>
        <v>158262.98333333331</v>
      </c>
      <c r="D79" s="318">
        <f>(('Beta Phase (5-8 months)'!M19)/12)</f>
        <v>57213.341666666667</v>
      </c>
      <c r="E79" s="308">
        <f>(('Prod Ready phase (9-12 months)'!M23)/12)</f>
        <v>84687.763333333336</v>
      </c>
      <c r="F79" s="308"/>
      <c r="G79" s="308">
        <f t="shared" ref="G79:G84" si="52">SUM(C79:F79)</f>
        <v>300164.08833333332</v>
      </c>
      <c r="H79" s="308">
        <f t="shared" ref="H79:H84" si="53">G79+H78</f>
        <v>31234572.135000035</v>
      </c>
      <c r="I79" s="311" t="s">
        <v>778</v>
      </c>
      <c r="J79" s="312"/>
      <c r="K79" s="313"/>
      <c r="L79" s="308">
        <v>0</v>
      </c>
      <c r="M79" s="314">
        <v>0</v>
      </c>
      <c r="N79" s="314">
        <v>0</v>
      </c>
      <c r="O79" s="314">
        <v>50</v>
      </c>
      <c r="P79" s="314">
        <v>0</v>
      </c>
      <c r="Q79" s="314">
        <f t="shared" si="41"/>
        <v>0</v>
      </c>
      <c r="R79" s="314">
        <f t="shared" si="43"/>
        <v>0</v>
      </c>
      <c r="S79" s="314">
        <f t="shared" si="44"/>
        <v>1000</v>
      </c>
      <c r="T79" s="314">
        <f t="shared" si="45"/>
        <v>0</v>
      </c>
      <c r="U79" s="308">
        <f t="shared" si="51"/>
        <v>796000</v>
      </c>
      <c r="V79" s="308">
        <f t="shared" si="46"/>
        <v>49204000</v>
      </c>
      <c r="W79" s="308">
        <f t="shared" si="47"/>
        <v>2380000</v>
      </c>
      <c r="X79" s="308">
        <f t="shared" si="48"/>
        <v>108577427.86499992</v>
      </c>
    </row>
    <row r="80" spans="2:24" x14ac:dyDescent="0.25">
      <c r="B80" s="315">
        <f t="shared" si="42"/>
        <v>68</v>
      </c>
      <c r="C80" s="316">
        <f>((SUM('Startup Phase (1-4 months)'!M12:M23))/12)+('Startup Phase (1-4 months)'!M73/12)</f>
        <v>158262.98333333331</v>
      </c>
      <c r="D80" s="319">
        <f>(('Beta Phase (5-8 months)'!M19)/12)+('Beta Phase (5-8 months)'!M41)</f>
        <v>367213.34166666667</v>
      </c>
      <c r="E80" s="316">
        <f>(('Prod Ready phase (9-12 months)'!M23)/12)</f>
        <v>84687.763333333336</v>
      </c>
      <c r="F80" s="316"/>
      <c r="G80" s="316">
        <f t="shared" si="52"/>
        <v>610164.08833333326</v>
      </c>
      <c r="H80" s="316">
        <f t="shared" si="53"/>
        <v>31844736.22333337</v>
      </c>
      <c r="I80" s="302"/>
      <c r="J80" s="303"/>
      <c r="K80" s="304"/>
      <c r="L80" s="316">
        <v>0</v>
      </c>
      <c r="M80" s="306">
        <v>0</v>
      </c>
      <c r="N80" s="306">
        <v>0</v>
      </c>
      <c r="O80" s="306">
        <v>50</v>
      </c>
      <c r="P80" s="306">
        <v>0</v>
      </c>
      <c r="Q80" s="306">
        <f t="shared" si="41"/>
        <v>0</v>
      </c>
      <c r="R80" s="306">
        <f t="shared" si="43"/>
        <v>0</v>
      </c>
      <c r="S80" s="306">
        <f t="shared" si="44"/>
        <v>1000</v>
      </c>
      <c r="T80" s="306">
        <f t="shared" si="45"/>
        <v>0</v>
      </c>
      <c r="U80" s="316">
        <f t="shared" si="51"/>
        <v>796000</v>
      </c>
      <c r="V80" s="316">
        <f t="shared" si="46"/>
        <v>50000000</v>
      </c>
      <c r="W80" s="316">
        <f t="shared" si="47"/>
        <v>2380000</v>
      </c>
      <c r="X80" s="316">
        <f t="shared" si="48"/>
        <v>110347263.77666658</v>
      </c>
    </row>
    <row r="81" spans="2:24" x14ac:dyDescent="0.25">
      <c r="B81" s="307">
        <f t="shared" si="42"/>
        <v>69</v>
      </c>
      <c r="C81" s="308">
        <f>((SUM('Startup Phase (1-4 months)'!M12:M23))/12)+('Startup Phase (1-4 months)'!M73/12)</f>
        <v>158262.98333333331</v>
      </c>
      <c r="D81" s="318">
        <f>(('Beta Phase (5-8 months)'!M19)/12)</f>
        <v>57213.341666666667</v>
      </c>
      <c r="E81" s="308">
        <f>(('Prod Ready phase (9-12 months)'!M23)/12)</f>
        <v>84687.763333333336</v>
      </c>
      <c r="F81" s="308"/>
      <c r="G81" s="308">
        <f t="shared" si="52"/>
        <v>300164.08833333332</v>
      </c>
      <c r="H81" s="308">
        <f t="shared" si="53"/>
        <v>32144900.311666705</v>
      </c>
      <c r="I81" s="311"/>
      <c r="J81" s="312"/>
      <c r="K81" s="313"/>
      <c r="L81" s="308">
        <v>0</v>
      </c>
      <c r="M81" s="314">
        <v>0</v>
      </c>
      <c r="N81" s="314">
        <v>0</v>
      </c>
      <c r="O81" s="314">
        <v>50</v>
      </c>
      <c r="P81" s="314">
        <v>0</v>
      </c>
      <c r="Q81" s="314">
        <f t="shared" si="41"/>
        <v>0</v>
      </c>
      <c r="R81" s="314">
        <f t="shared" si="43"/>
        <v>0</v>
      </c>
      <c r="S81" s="314">
        <f t="shared" si="44"/>
        <v>1000</v>
      </c>
      <c r="T81" s="314">
        <f t="shared" si="45"/>
        <v>0</v>
      </c>
      <c r="U81" s="308">
        <f t="shared" si="51"/>
        <v>796000</v>
      </c>
      <c r="V81" s="308">
        <f t="shared" si="46"/>
        <v>50796000</v>
      </c>
      <c r="W81" s="308">
        <f t="shared" si="47"/>
        <v>2380000</v>
      </c>
      <c r="X81" s="308">
        <f t="shared" si="48"/>
        <v>112427099.68833324</v>
      </c>
    </row>
    <row r="82" spans="2:24" x14ac:dyDescent="0.25">
      <c r="B82" s="315">
        <f t="shared" si="42"/>
        <v>70</v>
      </c>
      <c r="C82" s="316">
        <f>((SUM('Startup Phase (1-4 months)'!M12:M23))/12)+('Startup Phase (1-4 months)'!M73/12)</f>
        <v>158262.98333333331</v>
      </c>
      <c r="D82" s="319">
        <f>(('Beta Phase (5-8 months)'!M19)/12)+('Beta Phase (5-8 months)'!M41)</f>
        <v>367213.34166666667</v>
      </c>
      <c r="E82" s="316">
        <f>(('Prod Ready phase (9-12 months)'!M23)/12)</f>
        <v>84687.763333333336</v>
      </c>
      <c r="F82" s="316"/>
      <c r="G82" s="316">
        <f t="shared" si="52"/>
        <v>610164.08833333326</v>
      </c>
      <c r="H82" s="316">
        <f t="shared" si="53"/>
        <v>32755064.400000039</v>
      </c>
      <c r="I82" s="302"/>
      <c r="J82" s="303"/>
      <c r="K82" s="304"/>
      <c r="L82" s="316">
        <v>0</v>
      </c>
      <c r="M82" s="306">
        <v>0</v>
      </c>
      <c r="N82" s="306">
        <v>0</v>
      </c>
      <c r="O82" s="306">
        <v>50</v>
      </c>
      <c r="P82" s="306">
        <v>0</v>
      </c>
      <c r="Q82" s="306">
        <f t="shared" si="41"/>
        <v>0</v>
      </c>
      <c r="R82" s="306">
        <f t="shared" si="43"/>
        <v>0</v>
      </c>
      <c r="S82" s="306">
        <f t="shared" si="44"/>
        <v>1000</v>
      </c>
      <c r="T82" s="306">
        <f t="shared" si="45"/>
        <v>0</v>
      </c>
      <c r="U82" s="316">
        <f t="shared" si="51"/>
        <v>796000</v>
      </c>
      <c r="V82" s="316">
        <f t="shared" si="46"/>
        <v>51592000</v>
      </c>
      <c r="W82" s="316">
        <f t="shared" si="47"/>
        <v>2380000</v>
      </c>
      <c r="X82" s="316">
        <f t="shared" si="48"/>
        <v>114196935.5999999</v>
      </c>
    </row>
    <row r="83" spans="2:24" x14ac:dyDescent="0.25">
      <c r="B83" s="307">
        <f t="shared" si="42"/>
        <v>71</v>
      </c>
      <c r="C83" s="308">
        <f>((SUM('Startup Phase (1-4 months)'!M12:M23))/12)+('Startup Phase (1-4 months)'!M73/12)</f>
        <v>158262.98333333331</v>
      </c>
      <c r="D83" s="318">
        <f>(('Beta Phase (5-8 months)'!M19)/12)</f>
        <v>57213.341666666667</v>
      </c>
      <c r="E83" s="308">
        <f>(('Prod Ready phase (9-12 months)'!M23)/12)</f>
        <v>84687.763333333336</v>
      </c>
      <c r="F83" s="308"/>
      <c r="G83" s="308">
        <f t="shared" si="52"/>
        <v>300164.08833333332</v>
      </c>
      <c r="H83" s="308">
        <f t="shared" si="53"/>
        <v>33055228.488333374</v>
      </c>
      <c r="I83" s="311"/>
      <c r="J83" s="312"/>
      <c r="K83" s="313"/>
      <c r="L83" s="308">
        <v>0</v>
      </c>
      <c r="M83" s="314">
        <v>0</v>
      </c>
      <c r="N83" s="314">
        <v>0</v>
      </c>
      <c r="O83" s="314">
        <v>50</v>
      </c>
      <c r="P83" s="314">
        <v>0</v>
      </c>
      <c r="Q83" s="314">
        <f t="shared" si="41"/>
        <v>0</v>
      </c>
      <c r="R83" s="314">
        <f t="shared" si="43"/>
        <v>0</v>
      </c>
      <c r="S83" s="314">
        <f t="shared" si="44"/>
        <v>1000</v>
      </c>
      <c r="T83" s="314">
        <f t="shared" si="45"/>
        <v>0</v>
      </c>
      <c r="U83" s="308">
        <f t="shared" si="51"/>
        <v>796000</v>
      </c>
      <c r="V83" s="308">
        <f t="shared" si="46"/>
        <v>52388000</v>
      </c>
      <c r="W83" s="308">
        <f t="shared" si="47"/>
        <v>2380000</v>
      </c>
      <c r="X83" s="308">
        <f t="shared" si="48"/>
        <v>116276771.51166657</v>
      </c>
    </row>
    <row r="84" spans="2:24" x14ac:dyDescent="0.25">
      <c r="B84" s="315">
        <f t="shared" si="42"/>
        <v>72</v>
      </c>
      <c r="C84" s="316">
        <f>((SUM('Startup Phase (1-4 months)'!M12:M23))/12)+('Startup Phase (1-4 months)'!M73/12)</f>
        <v>158262.98333333331</v>
      </c>
      <c r="D84" s="319">
        <f>(('Beta Phase (5-8 months)'!M19)/12)</f>
        <v>57213.341666666667</v>
      </c>
      <c r="E84" s="316">
        <f>(('Prod Ready phase (9-12 months)'!M23)/12)</f>
        <v>84687.763333333336</v>
      </c>
      <c r="F84" s="316"/>
      <c r="G84" s="316">
        <f t="shared" si="52"/>
        <v>300164.08833333332</v>
      </c>
      <c r="H84" s="316">
        <f t="shared" si="53"/>
        <v>33355392.576666709</v>
      </c>
      <c r="I84" s="302"/>
      <c r="J84" s="303"/>
      <c r="K84" s="304"/>
      <c r="L84" s="316">
        <v>0</v>
      </c>
      <c r="M84" s="306">
        <v>0</v>
      </c>
      <c r="N84" s="306">
        <v>0</v>
      </c>
      <c r="O84" s="306">
        <v>50</v>
      </c>
      <c r="P84" s="306">
        <v>0</v>
      </c>
      <c r="Q84" s="306">
        <f t="shared" si="41"/>
        <v>0</v>
      </c>
      <c r="R84" s="306">
        <f t="shared" si="43"/>
        <v>0</v>
      </c>
      <c r="S84" s="306">
        <f t="shared" si="44"/>
        <v>1000</v>
      </c>
      <c r="T84" s="306">
        <f t="shared" si="45"/>
        <v>0</v>
      </c>
      <c r="U84" s="316">
        <f t="shared" si="51"/>
        <v>796000</v>
      </c>
      <c r="V84" s="316">
        <f t="shared" si="46"/>
        <v>53184000</v>
      </c>
      <c r="W84" s="316">
        <f t="shared" si="47"/>
        <v>2380000</v>
      </c>
      <c r="X84" s="316">
        <f t="shared" si="48"/>
        <v>118356607.42333323</v>
      </c>
    </row>
    <row r="85" spans="2:24" x14ac:dyDescent="0.25">
      <c r="B85" s="321"/>
      <c r="C85" s="322"/>
      <c r="D85" s="321"/>
      <c r="E85" s="321"/>
      <c r="F85" s="323" t="s">
        <v>52</v>
      </c>
      <c r="G85" s="324">
        <f>SUM(G13:G48)</f>
        <v>17274485.396666657</v>
      </c>
      <c r="H85" s="322"/>
      <c r="I85" s="325"/>
      <c r="J85" s="326"/>
      <c r="K85" s="327"/>
      <c r="L85" s="328"/>
      <c r="M85" s="328"/>
      <c r="N85" s="328"/>
      <c r="O85" s="328"/>
      <c r="P85" s="328"/>
      <c r="Q85" s="329">
        <f>SUM(Q27:Q84)</f>
        <v>0</v>
      </c>
      <c r="R85" s="329">
        <f>SUM(R27:R84)</f>
        <v>0</v>
      </c>
      <c r="S85" s="329">
        <f>SUM(S27:S84)</f>
        <v>58000</v>
      </c>
      <c r="T85" s="329">
        <f>SUM(T27:T84)</f>
        <v>0</v>
      </c>
      <c r="U85" s="330">
        <f>SUM(U13:U84)</f>
        <v>53184000</v>
      </c>
      <c r="V85" s="330"/>
      <c r="W85" s="330">
        <f>SUM(W13:W84)</f>
        <v>147560000</v>
      </c>
      <c r="X85" s="330">
        <f>X84</f>
        <v>118356607.42333323</v>
      </c>
    </row>
    <row r="86" spans="2:24" x14ac:dyDescent="0.25">
      <c r="B86" s="140"/>
      <c r="C86" s="140"/>
      <c r="D86" s="140"/>
      <c r="E86" s="140"/>
      <c r="F86" s="140"/>
      <c r="G86" s="140"/>
      <c r="H86" s="140"/>
      <c r="I86" s="140"/>
      <c r="J86" s="140"/>
      <c r="K86" s="140"/>
    </row>
    <row r="87" spans="2:24" s="140" customFormat="1" x14ac:dyDescent="0.25"/>
    <row r="88" spans="2:24" s="140" customFormat="1" x14ac:dyDescent="0.25"/>
    <row r="89" spans="2:24" s="140" customFormat="1" x14ac:dyDescent="0.25"/>
    <row r="90" spans="2:24" s="140" customFormat="1" x14ac:dyDescent="0.25">
      <c r="K90" s="331"/>
    </row>
    <row r="91" spans="2:24" s="140" customFormat="1" x14ac:dyDescent="0.25"/>
    <row r="92" spans="2:24" s="140" customFormat="1" x14ac:dyDescent="0.25"/>
    <row r="93" spans="2:24" s="140" customFormat="1" x14ac:dyDescent="0.25"/>
    <row r="94" spans="2:24" s="140" customFormat="1" x14ac:dyDescent="0.25"/>
    <row r="95" spans="2:24" s="140" customFormat="1" x14ac:dyDescent="0.25"/>
    <row r="96" spans="2:24" s="140" customFormat="1" x14ac:dyDescent="0.25"/>
    <row r="97" s="140" customFormat="1" x14ac:dyDescent="0.25"/>
    <row r="98" s="140" customFormat="1" x14ac:dyDescent="0.25"/>
    <row r="99" s="140" customFormat="1" x14ac:dyDescent="0.25"/>
    <row r="100" s="140" customFormat="1" x14ac:dyDescent="0.25"/>
    <row r="101" s="140" customFormat="1" x14ac:dyDescent="0.25"/>
    <row r="102" s="140" customFormat="1" x14ac:dyDescent="0.25"/>
    <row r="103" s="140" customFormat="1" x14ac:dyDescent="0.25"/>
    <row r="104" s="140" customFormat="1" x14ac:dyDescent="0.25"/>
    <row r="105" s="140" customFormat="1" x14ac:dyDescent="0.25"/>
    <row r="106" s="140" customFormat="1" x14ac:dyDescent="0.25"/>
    <row r="107" s="140" customFormat="1" x14ac:dyDescent="0.25"/>
    <row r="108" s="140" customFormat="1" x14ac:dyDescent="0.25"/>
    <row r="109" s="140" customFormat="1" x14ac:dyDescent="0.25"/>
    <row r="110" s="140" customFormat="1" x14ac:dyDescent="0.25"/>
    <row r="111" s="140" customFormat="1" x14ac:dyDescent="0.25"/>
    <row r="112" s="140" customFormat="1" x14ac:dyDescent="0.25"/>
    <row r="113" s="140" customFormat="1" x14ac:dyDescent="0.25"/>
    <row r="114" s="140" customFormat="1" x14ac:dyDescent="0.25"/>
    <row r="115" s="140" customFormat="1" x14ac:dyDescent="0.25"/>
    <row r="116" s="140" customFormat="1" x14ac:dyDescent="0.25"/>
    <row r="117" s="140" customFormat="1" x14ac:dyDescent="0.25"/>
    <row r="118" s="140" customFormat="1" x14ac:dyDescent="0.25"/>
    <row r="119" s="140" customFormat="1" x14ac:dyDescent="0.25"/>
    <row r="120" s="140" customFormat="1" x14ac:dyDescent="0.25"/>
    <row r="121" s="140" customFormat="1" x14ac:dyDescent="0.25"/>
    <row r="122" s="140" customFormat="1" x14ac:dyDescent="0.25"/>
    <row r="123" s="140" customFormat="1" x14ac:dyDescent="0.25"/>
    <row r="124" s="140" customFormat="1" x14ac:dyDescent="0.25"/>
    <row r="125" s="140" customFormat="1" x14ac:dyDescent="0.25"/>
    <row r="126" s="140" customFormat="1" x14ac:dyDescent="0.25"/>
    <row r="127" s="140" customFormat="1" x14ac:dyDescent="0.25"/>
    <row r="128" s="140" customFormat="1" x14ac:dyDescent="0.25"/>
    <row r="129" s="140" customFormat="1" x14ac:dyDescent="0.25"/>
    <row r="130" s="140" customFormat="1" x14ac:dyDescent="0.25"/>
    <row r="131" s="140" customFormat="1" x14ac:dyDescent="0.25"/>
    <row r="132" s="140" customFormat="1" x14ac:dyDescent="0.25"/>
    <row r="133" s="140" customFormat="1" x14ac:dyDescent="0.25"/>
    <row r="134" s="140" customFormat="1" x14ac:dyDescent="0.25"/>
    <row r="135" s="140" customFormat="1" x14ac:dyDescent="0.25"/>
    <row r="136" s="140" customFormat="1" x14ac:dyDescent="0.25"/>
    <row r="137" s="140" customFormat="1" x14ac:dyDescent="0.25"/>
    <row r="138" s="140" customFormat="1" x14ac:dyDescent="0.25"/>
    <row r="139" s="140" customFormat="1" x14ac:dyDescent="0.25"/>
    <row r="140" s="140" customFormat="1" x14ac:dyDescent="0.25"/>
    <row r="141" s="140" customFormat="1" x14ac:dyDescent="0.25"/>
    <row r="142" s="140" customFormat="1" x14ac:dyDescent="0.25"/>
    <row r="143" s="140" customFormat="1" x14ac:dyDescent="0.25"/>
    <row r="144" s="140" customFormat="1" x14ac:dyDescent="0.25"/>
    <row r="145" s="140" customFormat="1" x14ac:dyDescent="0.25"/>
    <row r="146" s="140" customFormat="1" x14ac:dyDescent="0.25"/>
    <row r="147" s="140" customFormat="1" x14ac:dyDescent="0.25"/>
    <row r="148" s="140" customFormat="1" x14ac:dyDescent="0.25"/>
    <row r="149" s="140" customFormat="1" x14ac:dyDescent="0.25"/>
    <row r="150" s="140" customFormat="1" x14ac:dyDescent="0.25"/>
    <row r="151" s="140" customFormat="1" x14ac:dyDescent="0.25"/>
    <row r="152" s="140" customFormat="1" x14ac:dyDescent="0.25"/>
    <row r="153" s="140" customFormat="1" x14ac:dyDescent="0.25"/>
    <row r="154" s="140" customFormat="1" x14ac:dyDescent="0.25"/>
    <row r="155" s="140" customFormat="1" x14ac:dyDescent="0.25"/>
    <row r="156" s="140" customFormat="1" x14ac:dyDescent="0.25"/>
    <row r="157" s="140" customFormat="1" x14ac:dyDescent="0.25"/>
    <row r="158" s="140" customFormat="1" x14ac:dyDescent="0.25"/>
    <row r="159" s="140" customFormat="1" x14ac:dyDescent="0.25"/>
    <row r="160" s="140" customFormat="1" x14ac:dyDescent="0.25"/>
    <row r="161" s="140" customFormat="1" x14ac:dyDescent="0.25"/>
    <row r="162" s="140" customFormat="1" x14ac:dyDescent="0.25"/>
    <row r="163" s="140" customFormat="1" x14ac:dyDescent="0.25"/>
    <row r="164" s="140" customFormat="1" x14ac:dyDescent="0.25"/>
    <row r="165" s="140" customFormat="1" x14ac:dyDescent="0.25"/>
    <row r="166" s="140" customFormat="1" x14ac:dyDescent="0.25"/>
    <row r="167" s="140" customFormat="1" x14ac:dyDescent="0.25"/>
    <row r="168" s="140" customFormat="1" x14ac:dyDescent="0.25"/>
    <row r="169" s="140" customFormat="1" x14ac:dyDescent="0.25"/>
    <row r="170" s="140" customFormat="1" x14ac:dyDescent="0.25"/>
    <row r="171" s="140" customFormat="1" x14ac:dyDescent="0.25"/>
    <row r="172" s="140" customFormat="1" x14ac:dyDescent="0.25"/>
    <row r="173" s="140" customFormat="1" x14ac:dyDescent="0.25"/>
    <row r="174" s="140" customFormat="1" x14ac:dyDescent="0.25"/>
    <row r="175" s="140" customFormat="1" x14ac:dyDescent="0.25"/>
    <row r="176" s="140" customFormat="1" x14ac:dyDescent="0.25"/>
    <row r="177" s="140" customFormat="1" x14ac:dyDescent="0.25"/>
    <row r="178" s="140" customFormat="1" x14ac:dyDescent="0.25"/>
    <row r="179" s="140" customFormat="1" x14ac:dyDescent="0.25"/>
    <row r="180" s="140" customFormat="1" x14ac:dyDescent="0.25"/>
    <row r="181" s="140" customFormat="1" x14ac:dyDescent="0.25"/>
    <row r="182" s="140" customFormat="1" x14ac:dyDescent="0.25"/>
    <row r="183" s="140" customFormat="1" x14ac:dyDescent="0.25"/>
    <row r="184" s="140" customFormat="1" x14ac:dyDescent="0.25"/>
    <row r="185" s="140" customFormat="1" x14ac:dyDescent="0.25"/>
    <row r="186" s="140" customFormat="1" x14ac:dyDescent="0.25"/>
    <row r="187" s="140" customFormat="1" x14ac:dyDescent="0.25"/>
    <row r="188" s="140" customFormat="1" x14ac:dyDescent="0.25"/>
    <row r="189" s="140" customFormat="1" x14ac:dyDescent="0.25"/>
    <row r="190" s="140" customFormat="1" x14ac:dyDescent="0.25"/>
    <row r="191" s="140" customFormat="1" x14ac:dyDescent="0.25"/>
    <row r="192" s="140" customFormat="1" x14ac:dyDescent="0.25"/>
    <row r="193" s="140" customFormat="1" x14ac:dyDescent="0.25"/>
    <row r="194" s="140" customFormat="1" x14ac:dyDescent="0.25"/>
    <row r="195" s="140" customFormat="1" x14ac:dyDescent="0.25"/>
    <row r="196" s="140" customFormat="1" x14ac:dyDescent="0.25"/>
    <row r="197" s="140" customFormat="1" x14ac:dyDescent="0.25"/>
    <row r="198" s="140" customFormat="1" x14ac:dyDescent="0.25"/>
    <row r="199" s="140" customFormat="1" x14ac:dyDescent="0.25"/>
    <row r="200" s="140" customFormat="1" x14ac:dyDescent="0.25"/>
    <row r="201" s="140" customFormat="1" x14ac:dyDescent="0.25"/>
    <row r="202" s="140" customFormat="1" x14ac:dyDescent="0.25"/>
    <row r="203" s="140" customFormat="1" x14ac:dyDescent="0.25"/>
    <row r="204" s="140" customFormat="1" x14ac:dyDescent="0.25"/>
    <row r="205" s="140" customFormat="1" x14ac:dyDescent="0.25"/>
    <row r="206" s="140" customFormat="1" x14ac:dyDescent="0.25"/>
    <row r="207" s="140" customFormat="1" x14ac:dyDescent="0.25"/>
    <row r="208" s="140" customFormat="1" x14ac:dyDescent="0.25"/>
    <row r="209" s="140" customFormat="1" x14ac:dyDescent="0.25"/>
    <row r="210" s="140" customFormat="1" x14ac:dyDescent="0.25"/>
    <row r="211" s="140" customFormat="1" x14ac:dyDescent="0.25"/>
    <row r="212" s="140" customFormat="1" x14ac:dyDescent="0.25"/>
    <row r="213" s="140" customFormat="1" x14ac:dyDescent="0.25"/>
    <row r="214" s="140" customFormat="1" x14ac:dyDescent="0.25"/>
    <row r="215" s="140" customFormat="1" x14ac:dyDescent="0.25"/>
    <row r="216" s="140" customFormat="1" x14ac:dyDescent="0.25"/>
    <row r="217" s="140" customFormat="1" x14ac:dyDescent="0.25"/>
    <row r="218" s="140" customFormat="1" x14ac:dyDescent="0.25"/>
    <row r="219" s="140" customFormat="1" x14ac:dyDescent="0.25"/>
    <row r="220" s="140" customFormat="1" x14ac:dyDescent="0.25"/>
    <row r="221" s="140" customFormat="1" x14ac:dyDescent="0.25"/>
    <row r="222" s="140" customFormat="1" x14ac:dyDescent="0.25"/>
    <row r="223" s="140" customFormat="1" x14ac:dyDescent="0.25"/>
    <row r="224" s="140" customFormat="1" x14ac:dyDescent="0.25"/>
    <row r="225" s="140" customFormat="1" x14ac:dyDescent="0.25"/>
    <row r="226" s="140" customFormat="1" x14ac:dyDescent="0.25"/>
    <row r="227" s="140" customFormat="1" x14ac:dyDescent="0.25"/>
    <row r="228" s="140" customFormat="1" x14ac:dyDescent="0.25"/>
    <row r="229" s="140" customFormat="1" x14ac:dyDescent="0.25"/>
    <row r="230" s="140" customFormat="1" x14ac:dyDescent="0.25"/>
    <row r="231" s="140" customFormat="1" x14ac:dyDescent="0.25"/>
    <row r="232" s="140" customFormat="1" x14ac:dyDescent="0.25"/>
    <row r="233" s="140" customFormat="1" x14ac:dyDescent="0.25"/>
    <row r="234" s="140" customFormat="1" x14ac:dyDescent="0.25"/>
    <row r="235" s="140" customFormat="1" x14ac:dyDescent="0.25"/>
    <row r="236" s="140" customFormat="1" x14ac:dyDescent="0.25"/>
    <row r="237" s="140" customFormat="1" x14ac:dyDescent="0.25"/>
    <row r="238" s="140" customFormat="1" x14ac:dyDescent="0.25"/>
    <row r="239" s="140" customFormat="1" x14ac:dyDescent="0.25"/>
    <row r="240" s="140" customFormat="1" x14ac:dyDescent="0.25"/>
    <row r="241" s="140" customFormat="1" x14ac:dyDescent="0.25"/>
    <row r="242" s="140" customFormat="1" x14ac:dyDescent="0.25"/>
    <row r="243" s="140" customFormat="1" x14ac:dyDescent="0.25"/>
    <row r="244" s="140" customFormat="1" x14ac:dyDescent="0.25"/>
    <row r="245" s="140" customFormat="1" x14ac:dyDescent="0.25"/>
    <row r="246" s="140" customFormat="1" x14ac:dyDescent="0.25"/>
    <row r="247" s="140" customFormat="1" x14ac:dyDescent="0.25"/>
    <row r="248" s="140" customFormat="1" x14ac:dyDescent="0.25"/>
    <row r="249" s="140" customFormat="1" x14ac:dyDescent="0.25"/>
    <row r="250" s="140" customFormat="1" x14ac:dyDescent="0.25"/>
    <row r="251" s="140" customFormat="1" x14ac:dyDescent="0.25"/>
    <row r="252" s="140" customFormat="1" x14ac:dyDescent="0.25"/>
    <row r="253" s="140" customFormat="1" x14ac:dyDescent="0.25"/>
    <row r="254" s="140" customFormat="1" x14ac:dyDescent="0.25"/>
    <row r="255" s="140" customFormat="1" x14ac:dyDescent="0.25"/>
    <row r="256" s="140" customFormat="1" x14ac:dyDescent="0.25"/>
    <row r="257" s="140" customFormat="1" x14ac:dyDescent="0.25"/>
    <row r="258" s="140" customFormat="1" x14ac:dyDescent="0.25"/>
    <row r="259" s="140" customFormat="1" x14ac:dyDescent="0.25"/>
    <row r="260" s="140" customFormat="1" x14ac:dyDescent="0.25"/>
    <row r="261" s="140" customFormat="1" x14ac:dyDescent="0.25"/>
    <row r="262" s="140" customFormat="1" x14ac:dyDescent="0.25"/>
    <row r="263" s="140" customFormat="1" x14ac:dyDescent="0.25"/>
    <row r="264" s="140" customFormat="1" x14ac:dyDescent="0.25"/>
    <row r="265" s="140" customFormat="1" x14ac:dyDescent="0.25"/>
    <row r="266" s="140" customFormat="1" x14ac:dyDescent="0.25"/>
    <row r="267" s="140" customFormat="1" x14ac:dyDescent="0.25"/>
    <row r="268" s="140" customFormat="1" x14ac:dyDescent="0.25"/>
    <row r="269" s="140" customFormat="1" x14ac:dyDescent="0.25"/>
    <row r="270" s="140" customFormat="1" x14ac:dyDescent="0.25"/>
    <row r="271" s="140" customFormat="1" x14ac:dyDescent="0.25"/>
    <row r="272" s="140" customFormat="1" x14ac:dyDescent="0.25"/>
    <row r="273" s="140" customFormat="1" x14ac:dyDescent="0.25"/>
    <row r="274" s="140" customFormat="1" x14ac:dyDescent="0.25"/>
    <row r="275" s="140" customFormat="1" x14ac:dyDescent="0.25"/>
    <row r="276" s="140" customFormat="1" x14ac:dyDescent="0.25"/>
    <row r="277" s="140" customFormat="1" x14ac:dyDescent="0.25"/>
    <row r="278" s="140" customFormat="1" x14ac:dyDescent="0.25"/>
    <row r="279" s="140" customFormat="1" x14ac:dyDescent="0.25"/>
    <row r="280" s="140" customFormat="1" x14ac:dyDescent="0.25"/>
    <row r="281" s="140" customFormat="1" x14ac:dyDescent="0.25"/>
    <row r="282" s="140" customFormat="1" x14ac:dyDescent="0.25"/>
    <row r="283" s="140" customFormat="1" x14ac:dyDescent="0.25"/>
    <row r="284" s="140" customFormat="1" x14ac:dyDescent="0.25"/>
    <row r="285" s="140" customFormat="1" x14ac:dyDescent="0.25"/>
    <row r="286" s="140" customFormat="1" x14ac:dyDescent="0.25"/>
    <row r="287" s="140" customFormat="1" x14ac:dyDescent="0.25"/>
    <row r="288" s="140" customFormat="1" x14ac:dyDescent="0.25"/>
    <row r="289" s="140" customFormat="1" x14ac:dyDescent="0.25"/>
    <row r="290" s="140" customFormat="1" x14ac:dyDescent="0.25"/>
    <row r="291" s="140" customFormat="1" x14ac:dyDescent="0.25"/>
    <row r="292" s="140" customFormat="1" x14ac:dyDescent="0.25"/>
    <row r="293" s="140" customFormat="1" x14ac:dyDescent="0.25"/>
    <row r="294" s="140" customFormat="1" x14ac:dyDescent="0.25"/>
    <row r="295" s="140" customFormat="1" x14ac:dyDescent="0.25"/>
    <row r="296" s="140" customFormat="1" x14ac:dyDescent="0.25"/>
    <row r="297" s="140" customFormat="1" x14ac:dyDescent="0.25"/>
    <row r="298" s="140" customFormat="1" x14ac:dyDescent="0.25"/>
    <row r="299" s="140" customFormat="1" x14ac:dyDescent="0.25"/>
    <row r="300" s="140" customFormat="1" x14ac:dyDescent="0.25"/>
    <row r="301" s="140" customFormat="1" x14ac:dyDescent="0.25"/>
    <row r="302" s="140" customFormat="1" x14ac:dyDescent="0.25"/>
    <row r="303" s="140" customFormat="1" x14ac:dyDescent="0.25"/>
    <row r="304" s="140" customFormat="1" x14ac:dyDescent="0.25"/>
    <row r="305" s="140" customFormat="1" x14ac:dyDescent="0.25"/>
    <row r="306" s="140" customFormat="1" x14ac:dyDescent="0.25"/>
    <row r="307" s="140" customFormat="1" x14ac:dyDescent="0.25"/>
    <row r="308" s="140" customFormat="1" x14ac:dyDescent="0.25"/>
    <row r="309" s="140" customFormat="1" x14ac:dyDescent="0.25"/>
    <row r="310" s="140" customFormat="1" x14ac:dyDescent="0.25"/>
    <row r="311" s="140" customFormat="1" x14ac:dyDescent="0.25"/>
    <row r="312" s="140" customFormat="1" x14ac:dyDescent="0.25"/>
    <row r="313" s="140" customFormat="1" x14ac:dyDescent="0.25"/>
    <row r="314" s="140" customFormat="1" x14ac:dyDescent="0.25"/>
    <row r="315" s="140" customFormat="1" x14ac:dyDescent="0.25"/>
    <row r="316" s="140" customFormat="1" x14ac:dyDescent="0.25"/>
    <row r="317" s="140" customFormat="1" x14ac:dyDescent="0.25"/>
    <row r="318" s="140" customFormat="1" x14ac:dyDescent="0.25"/>
    <row r="319" s="140" customFormat="1" x14ac:dyDescent="0.25"/>
    <row r="320" s="140" customFormat="1" x14ac:dyDescent="0.25"/>
    <row r="321" s="140" customFormat="1" x14ac:dyDescent="0.25"/>
    <row r="322" s="140" customFormat="1" x14ac:dyDescent="0.25"/>
    <row r="323" s="140" customFormat="1" x14ac:dyDescent="0.25"/>
    <row r="324" s="140" customFormat="1" x14ac:dyDescent="0.25"/>
    <row r="325" s="140" customFormat="1" x14ac:dyDescent="0.25"/>
    <row r="326" s="140" customFormat="1" x14ac:dyDescent="0.25"/>
    <row r="327" s="140" customFormat="1" x14ac:dyDescent="0.25"/>
    <row r="328" s="140" customFormat="1" x14ac:dyDescent="0.25"/>
    <row r="329" s="140" customFormat="1" x14ac:dyDescent="0.25"/>
    <row r="330" s="140" customFormat="1" x14ac:dyDescent="0.25"/>
    <row r="331" s="140" customFormat="1" x14ac:dyDescent="0.25"/>
    <row r="332" s="140" customFormat="1" x14ac:dyDescent="0.25"/>
    <row r="333" s="140" customFormat="1" x14ac:dyDescent="0.25"/>
    <row r="334" s="140" customFormat="1" x14ac:dyDescent="0.25"/>
    <row r="335" s="140" customFormat="1" x14ac:dyDescent="0.25"/>
    <row r="336" s="140" customFormat="1" x14ac:dyDescent="0.25"/>
    <row r="337" s="140" customFormat="1" x14ac:dyDescent="0.25"/>
    <row r="338" s="140" customFormat="1" x14ac:dyDescent="0.25"/>
    <row r="339" s="140" customFormat="1" x14ac:dyDescent="0.25"/>
    <row r="340" s="140" customFormat="1" x14ac:dyDescent="0.25"/>
    <row r="341" s="140" customFormat="1" x14ac:dyDescent="0.25"/>
    <row r="342" s="140" customFormat="1" x14ac:dyDescent="0.25"/>
    <row r="343" s="140" customFormat="1" x14ac:dyDescent="0.25"/>
    <row r="344" s="140" customFormat="1" x14ac:dyDescent="0.25"/>
    <row r="345" s="140" customFormat="1" x14ac:dyDescent="0.25"/>
    <row r="346" s="140" customFormat="1" x14ac:dyDescent="0.25"/>
    <row r="347" s="140" customFormat="1" x14ac:dyDescent="0.25"/>
    <row r="348" s="140" customFormat="1" x14ac:dyDescent="0.25"/>
    <row r="349" s="140" customFormat="1" x14ac:dyDescent="0.25"/>
    <row r="350" s="140" customFormat="1" x14ac:dyDescent="0.25"/>
    <row r="351" s="140" customFormat="1" x14ac:dyDescent="0.25"/>
    <row r="352" s="140" customFormat="1" x14ac:dyDescent="0.25"/>
    <row r="353" spans="2:11" s="140" customFormat="1" x14ac:dyDescent="0.25"/>
    <row r="354" spans="2:11" s="140" customFormat="1" x14ac:dyDescent="0.25"/>
    <row r="355" spans="2:11" s="140" customFormat="1" x14ac:dyDescent="0.25">
      <c r="B355" s="207"/>
      <c r="C355" s="207"/>
      <c r="D355" s="207"/>
      <c r="E355" s="207"/>
      <c r="F355" s="207"/>
      <c r="G355" s="207"/>
      <c r="H355" s="207"/>
      <c r="I355" s="207"/>
      <c r="J355" s="207"/>
      <c r="K355" s="207"/>
    </row>
  </sheetData>
  <sheetProtection algorithmName="SHA-512" hashValue="IlvYn6fG7JbLGFBg2CHLgG5iYM+boq81GtWcnwLOcvB/K+mrpdYoeZczgOY8XJBWUzkLHUgS0yAdFITgSRVmtw==" saltValue="UIj9x308+rsIpj2dP4d6rQ==" spinCount="100000" sheet="1" objects="1" scenarios="1" selectLockedCells="1"/>
  <mergeCells count="26">
    <mergeCell ref="I27:K27"/>
    <mergeCell ref="I30:K30"/>
    <mergeCell ref="D2:F2"/>
    <mergeCell ref="B10:H10"/>
    <mergeCell ref="S10:S11"/>
    <mergeCell ref="L10:L11"/>
    <mergeCell ref="I25:K25"/>
    <mergeCell ref="I24:K24"/>
    <mergeCell ref="I23:K23"/>
    <mergeCell ref="I22:K22"/>
    <mergeCell ref="AG17:AG18"/>
    <mergeCell ref="AH17:AM17"/>
    <mergeCell ref="J2:J3"/>
    <mergeCell ref="K2:P2"/>
    <mergeCell ref="I10:K11"/>
    <mergeCell ref="X10:X11"/>
    <mergeCell ref="W10:W11"/>
    <mergeCell ref="U10:U11"/>
    <mergeCell ref="V10:V11"/>
    <mergeCell ref="M10:M11"/>
    <mergeCell ref="P10:P11"/>
    <mergeCell ref="Q10:Q11"/>
    <mergeCell ref="T10:T11"/>
    <mergeCell ref="N10:N11"/>
    <mergeCell ref="R10:R11"/>
    <mergeCell ref="O10:O11"/>
  </mergeCells>
  <pageMargins left="0.25" right="0.25" top="0.75" bottom="0.75" header="0.3" footer="0.3"/>
  <pageSetup scale="43" orientation="landscape" r:id="rId1"/>
  <ignoredErrors>
    <ignoredError sqref="C73 D76:D82 D21 D24 D27 D30 D33 D36 C37 D39 D42 D45 D48 C49 D51 D54 C61 D55:D75 U25"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B5CC3-CB34-4C60-BF78-A5585DBF6F60}">
  <sheetPr>
    <pageSetUpPr fitToPage="1"/>
  </sheetPr>
  <dimension ref="A1:A340"/>
  <sheetViews>
    <sheetView zoomScale="90" zoomScaleNormal="90" workbookViewId="0">
      <selection activeCell="AB180" sqref="AB180"/>
    </sheetView>
  </sheetViews>
  <sheetFormatPr defaultRowHeight="15" x14ac:dyDescent="0.25"/>
  <sheetData>
    <row r="1" s="2" customFormat="1" x14ac:dyDescent="0.25"/>
    <row r="2" s="2" customFormat="1" x14ac:dyDescent="0.25"/>
    <row r="3" s="2" customFormat="1" x14ac:dyDescent="0.25"/>
    <row r="4" s="2" customFormat="1" x14ac:dyDescent="0.25"/>
    <row r="5" s="2" customFormat="1" x14ac:dyDescent="0.25"/>
    <row r="6" s="2" customFormat="1" x14ac:dyDescent="0.25"/>
    <row r="7" s="2" customFormat="1" x14ac:dyDescent="0.25"/>
    <row r="8" s="2" customFormat="1" x14ac:dyDescent="0.25"/>
    <row r="9" s="2" customFormat="1" x14ac:dyDescent="0.25"/>
    <row r="10" s="2" customFormat="1" x14ac:dyDescent="0.25"/>
    <row r="11" s="2" customFormat="1" x14ac:dyDescent="0.25"/>
    <row r="12" s="2" customFormat="1" x14ac:dyDescent="0.25"/>
    <row r="13" s="2" customFormat="1" x14ac:dyDescent="0.25"/>
    <row r="14" s="2" customFormat="1" x14ac:dyDescent="0.25"/>
    <row r="15" s="2" customFormat="1" x14ac:dyDescent="0.25"/>
    <row r="16" s="2" customFormat="1" x14ac:dyDescent="0.25"/>
    <row r="17" s="2" customFormat="1" x14ac:dyDescent="0.25"/>
    <row r="18" s="2" customFormat="1" x14ac:dyDescent="0.25"/>
    <row r="19" s="2" customFormat="1" x14ac:dyDescent="0.25"/>
    <row r="20" s="2" customFormat="1" x14ac:dyDescent="0.25"/>
    <row r="21" s="2" customFormat="1" x14ac:dyDescent="0.25"/>
    <row r="22" s="2" customFormat="1" x14ac:dyDescent="0.25"/>
    <row r="23" s="2" customFormat="1" x14ac:dyDescent="0.25"/>
    <row r="24" s="2" customFormat="1" x14ac:dyDescent="0.25"/>
    <row r="25" s="2" customFormat="1" x14ac:dyDescent="0.25"/>
    <row r="26" s="2" customFormat="1" x14ac:dyDescent="0.25"/>
    <row r="27" s="2" customFormat="1" x14ac:dyDescent="0.25"/>
    <row r="28" s="2" customFormat="1" x14ac:dyDescent="0.25"/>
    <row r="29" s="2" customFormat="1" x14ac:dyDescent="0.25"/>
    <row r="30" s="2" customFormat="1" x14ac:dyDescent="0.25"/>
    <row r="31" s="2" customFormat="1" x14ac:dyDescent="0.25"/>
    <row r="32" s="2" customFormat="1" x14ac:dyDescent="0.25"/>
    <row r="33" s="2" customFormat="1" x14ac:dyDescent="0.25"/>
    <row r="34" s="2" customFormat="1" x14ac:dyDescent="0.25"/>
    <row r="35" s="2" customFormat="1" x14ac:dyDescent="0.25"/>
    <row r="36" s="2" customFormat="1" x14ac:dyDescent="0.25"/>
    <row r="37" s="2" customFormat="1" x14ac:dyDescent="0.25"/>
    <row r="38" s="2" customFormat="1" x14ac:dyDescent="0.25"/>
    <row r="39" s="2" customFormat="1" x14ac:dyDescent="0.25"/>
    <row r="40" s="2" customFormat="1" x14ac:dyDescent="0.25"/>
    <row r="41" s="2" customFormat="1" x14ac:dyDescent="0.25"/>
    <row r="42" s="2" customFormat="1" x14ac:dyDescent="0.25"/>
    <row r="43" s="2" customFormat="1" x14ac:dyDescent="0.25"/>
    <row r="44" s="2" customFormat="1" x14ac:dyDescent="0.25"/>
    <row r="45" s="2" customFormat="1" x14ac:dyDescent="0.25"/>
    <row r="46" s="2" customFormat="1" x14ac:dyDescent="0.25"/>
    <row r="47" s="2" customFormat="1" x14ac:dyDescent="0.25"/>
    <row r="48" s="2" customFormat="1" x14ac:dyDescent="0.25"/>
    <row r="49" s="2" customFormat="1" x14ac:dyDescent="0.25"/>
    <row r="50" s="2" customFormat="1" x14ac:dyDescent="0.25"/>
    <row r="51" s="2" customFormat="1" x14ac:dyDescent="0.25"/>
    <row r="52" s="2" customFormat="1" x14ac:dyDescent="0.25"/>
    <row r="53" s="2" customFormat="1" x14ac:dyDescent="0.25"/>
    <row r="54" s="2" customFormat="1" x14ac:dyDescent="0.25"/>
    <row r="55" s="2" customFormat="1" x14ac:dyDescent="0.25"/>
    <row r="56" s="2" customFormat="1" x14ac:dyDescent="0.25"/>
    <row r="57" s="2" customFormat="1" x14ac:dyDescent="0.25"/>
    <row r="58" s="2" customFormat="1" x14ac:dyDescent="0.25"/>
    <row r="59" s="2" customFormat="1" x14ac:dyDescent="0.25"/>
    <row r="60" s="2" customFormat="1" x14ac:dyDescent="0.25"/>
    <row r="61" s="2" customFormat="1" x14ac:dyDescent="0.25"/>
    <row r="62" s="2" customFormat="1" x14ac:dyDescent="0.25"/>
    <row r="63" s="2" customFormat="1" x14ac:dyDescent="0.25"/>
    <row r="64" s="2" customFormat="1" x14ac:dyDescent="0.25"/>
    <row r="65" s="2" customFormat="1" x14ac:dyDescent="0.25"/>
    <row r="66" s="2" customFormat="1" x14ac:dyDescent="0.25"/>
    <row r="67" s="2" customFormat="1" x14ac:dyDescent="0.25"/>
    <row r="68" s="2" customFormat="1" x14ac:dyDescent="0.25"/>
    <row r="69" s="2" customFormat="1" x14ac:dyDescent="0.25"/>
    <row r="70" s="2" customFormat="1" x14ac:dyDescent="0.25"/>
    <row r="71" s="2" customFormat="1" x14ac:dyDescent="0.25"/>
    <row r="72" s="2" customFormat="1" x14ac:dyDescent="0.25"/>
    <row r="73" s="2" customFormat="1" x14ac:dyDescent="0.25"/>
    <row r="74" s="2" customFormat="1" x14ac:dyDescent="0.25"/>
    <row r="75" s="2" customFormat="1" x14ac:dyDescent="0.25"/>
    <row r="76" s="2" customFormat="1" x14ac:dyDescent="0.25"/>
    <row r="77" s="2" customFormat="1" x14ac:dyDescent="0.25"/>
    <row r="78" s="2" customFormat="1" x14ac:dyDescent="0.25"/>
    <row r="79" s="2" customFormat="1" x14ac:dyDescent="0.25"/>
    <row r="80" s="2" customFormat="1" x14ac:dyDescent="0.25"/>
    <row r="81" s="2" customFormat="1" x14ac:dyDescent="0.25"/>
    <row r="82" s="2" customFormat="1" x14ac:dyDescent="0.25"/>
    <row r="83" s="2" customFormat="1" x14ac:dyDescent="0.25"/>
    <row r="84" s="2" customFormat="1" x14ac:dyDescent="0.25"/>
    <row r="85" s="2" customFormat="1" x14ac:dyDescent="0.25"/>
    <row r="86" s="2" customFormat="1" x14ac:dyDescent="0.25"/>
    <row r="87" s="2" customFormat="1" x14ac:dyDescent="0.25"/>
    <row r="88" s="2" customFormat="1" x14ac:dyDescent="0.25"/>
    <row r="89" s="2" customFormat="1" x14ac:dyDescent="0.25"/>
    <row r="90" s="2" customFormat="1" x14ac:dyDescent="0.25"/>
    <row r="91" s="2" customFormat="1" x14ac:dyDescent="0.25"/>
    <row r="92" s="2" customFormat="1" x14ac:dyDescent="0.25"/>
    <row r="93" s="2" customFormat="1" x14ac:dyDescent="0.25"/>
    <row r="94" s="2" customFormat="1" x14ac:dyDescent="0.25"/>
    <row r="95" s="2" customFormat="1" x14ac:dyDescent="0.25"/>
    <row r="96" s="2" customFormat="1" x14ac:dyDescent="0.25"/>
    <row r="97" s="2" customFormat="1" x14ac:dyDescent="0.25"/>
    <row r="98" s="2" customFormat="1" x14ac:dyDescent="0.25"/>
    <row r="99" s="2" customFormat="1" x14ac:dyDescent="0.25"/>
    <row r="100" s="2" customFormat="1" x14ac:dyDescent="0.25"/>
    <row r="101" s="2" customFormat="1" x14ac:dyDescent="0.25"/>
    <row r="102" s="2" customFormat="1" x14ac:dyDescent="0.25"/>
    <row r="103" s="2" customFormat="1" x14ac:dyDescent="0.25"/>
    <row r="104" s="2" customFormat="1" x14ac:dyDescent="0.25"/>
    <row r="105" s="2" customFormat="1" x14ac:dyDescent="0.25"/>
    <row r="106" s="2" customFormat="1" x14ac:dyDescent="0.25"/>
    <row r="107" s="2" customFormat="1" x14ac:dyDescent="0.25"/>
    <row r="108" s="2" customFormat="1" x14ac:dyDescent="0.25"/>
    <row r="109" s="2" customFormat="1" x14ac:dyDescent="0.25"/>
    <row r="110" s="2" customFormat="1" x14ac:dyDescent="0.25"/>
    <row r="111" s="2" customFormat="1" x14ac:dyDescent="0.25"/>
    <row r="112" s="2" customFormat="1" x14ac:dyDescent="0.25"/>
    <row r="113" s="2" customFormat="1" x14ac:dyDescent="0.25"/>
    <row r="114" s="2" customFormat="1" x14ac:dyDescent="0.25"/>
    <row r="115" s="2" customFormat="1" x14ac:dyDescent="0.25"/>
    <row r="116" s="2" customFormat="1" x14ac:dyDescent="0.25"/>
    <row r="117" s="2" customFormat="1" x14ac:dyDescent="0.25"/>
    <row r="118" s="2" customFormat="1" x14ac:dyDescent="0.25"/>
    <row r="119" s="2" customFormat="1" x14ac:dyDescent="0.25"/>
    <row r="120" s="2" customFormat="1" x14ac:dyDescent="0.25"/>
    <row r="121" s="2" customFormat="1" x14ac:dyDescent="0.25"/>
    <row r="122" s="2" customFormat="1" x14ac:dyDescent="0.25"/>
    <row r="123" s="2" customFormat="1" x14ac:dyDescent="0.25"/>
    <row r="124" s="2" customFormat="1" x14ac:dyDescent="0.25"/>
    <row r="125" s="2" customFormat="1" x14ac:dyDescent="0.25"/>
    <row r="126" s="2" customFormat="1" x14ac:dyDescent="0.25"/>
    <row r="127" s="2" customFormat="1" x14ac:dyDescent="0.25"/>
    <row r="128" s="2" customFormat="1" x14ac:dyDescent="0.25"/>
    <row r="129" s="2" customFormat="1" x14ac:dyDescent="0.25"/>
    <row r="130" s="2" customFormat="1" x14ac:dyDescent="0.25"/>
    <row r="131" s="2" customFormat="1" x14ac:dyDescent="0.25"/>
    <row r="132" s="2" customFormat="1" x14ac:dyDescent="0.25"/>
    <row r="133" s="2" customFormat="1" x14ac:dyDescent="0.25"/>
    <row r="134" s="2" customFormat="1" x14ac:dyDescent="0.25"/>
    <row r="135" s="2" customFormat="1" x14ac:dyDescent="0.25"/>
    <row r="136" s="2" customFormat="1" x14ac:dyDescent="0.25"/>
    <row r="137" s="2" customFormat="1" x14ac:dyDescent="0.25"/>
    <row r="138" s="2" customFormat="1" x14ac:dyDescent="0.25"/>
    <row r="139" s="2" customFormat="1" x14ac:dyDescent="0.25"/>
    <row r="140" s="2" customFormat="1" x14ac:dyDescent="0.25"/>
    <row r="141" s="2" customFormat="1" x14ac:dyDescent="0.25"/>
    <row r="142" s="2" customFormat="1" x14ac:dyDescent="0.25"/>
    <row r="143" s="2" customFormat="1" x14ac:dyDescent="0.25"/>
    <row r="144" s="2" customFormat="1" x14ac:dyDescent="0.25"/>
    <row r="145" s="2" customFormat="1" x14ac:dyDescent="0.25"/>
    <row r="146" s="2" customFormat="1" x14ac:dyDescent="0.25"/>
    <row r="147" s="2" customFormat="1" x14ac:dyDescent="0.25"/>
    <row r="148" s="2" customFormat="1" x14ac:dyDescent="0.25"/>
    <row r="149" s="2" customFormat="1" x14ac:dyDescent="0.25"/>
    <row r="150" s="2" customFormat="1" x14ac:dyDescent="0.25"/>
    <row r="151" s="2" customFormat="1" x14ac:dyDescent="0.25"/>
    <row r="152" s="2" customFormat="1" x14ac:dyDescent="0.25"/>
    <row r="153" s="2" customFormat="1" x14ac:dyDescent="0.25"/>
    <row r="154" s="2" customFormat="1" x14ac:dyDescent="0.25"/>
    <row r="155" s="2" customFormat="1" x14ac:dyDescent="0.25"/>
    <row r="156" s="2" customFormat="1" x14ac:dyDescent="0.25"/>
    <row r="157" s="2" customFormat="1" x14ac:dyDescent="0.25"/>
    <row r="158" s="2" customFormat="1" x14ac:dyDescent="0.25"/>
    <row r="159" s="2" customFormat="1" x14ac:dyDescent="0.25"/>
    <row r="160" s="2" customFormat="1" x14ac:dyDescent="0.25"/>
    <row r="161" s="2" customFormat="1" x14ac:dyDescent="0.25"/>
    <row r="162" s="2" customFormat="1" x14ac:dyDescent="0.25"/>
    <row r="163" s="2" customFormat="1" x14ac:dyDescent="0.25"/>
    <row r="164" s="2" customFormat="1" x14ac:dyDescent="0.25"/>
    <row r="165" s="2" customFormat="1" x14ac:dyDescent="0.25"/>
    <row r="166" s="2" customFormat="1" x14ac:dyDescent="0.25"/>
    <row r="167" s="2" customFormat="1" x14ac:dyDescent="0.25"/>
    <row r="168" s="2" customFormat="1" x14ac:dyDescent="0.25"/>
    <row r="169" s="2" customFormat="1" x14ac:dyDescent="0.25"/>
    <row r="170" s="2" customFormat="1" x14ac:dyDescent="0.25"/>
    <row r="171" s="2" customFormat="1" x14ac:dyDescent="0.25"/>
    <row r="172" s="2" customFormat="1" x14ac:dyDescent="0.25"/>
    <row r="173" s="2" customFormat="1" x14ac:dyDescent="0.25"/>
    <row r="174" s="2" customFormat="1" x14ac:dyDescent="0.25"/>
    <row r="175" s="2" customFormat="1" x14ac:dyDescent="0.25"/>
    <row r="176" s="2" customFormat="1" x14ac:dyDescent="0.25"/>
    <row r="177" s="2" customFormat="1" x14ac:dyDescent="0.25"/>
    <row r="178" s="2" customFormat="1" x14ac:dyDescent="0.25"/>
    <row r="179" s="2" customFormat="1" x14ac:dyDescent="0.25"/>
    <row r="180" s="2" customFormat="1" x14ac:dyDescent="0.25"/>
    <row r="181" s="2" customFormat="1" x14ac:dyDescent="0.25"/>
    <row r="182" s="2" customFormat="1" x14ac:dyDescent="0.25"/>
    <row r="183" s="2" customFormat="1" x14ac:dyDescent="0.25"/>
    <row r="184" s="2" customFormat="1" x14ac:dyDescent="0.25"/>
    <row r="185" s="2" customFormat="1" x14ac:dyDescent="0.25"/>
    <row r="186" s="2" customFormat="1" x14ac:dyDescent="0.25"/>
    <row r="187" s="2" customFormat="1" x14ac:dyDescent="0.25"/>
    <row r="188" s="2" customFormat="1" x14ac:dyDescent="0.25"/>
    <row r="189" s="2" customFormat="1" x14ac:dyDescent="0.25"/>
    <row r="190" s="2" customFormat="1" x14ac:dyDescent="0.25"/>
    <row r="191" s="2" customFormat="1" x14ac:dyDescent="0.25"/>
    <row r="192" s="2" customFormat="1" x14ac:dyDescent="0.25"/>
    <row r="193" s="2" customFormat="1" x14ac:dyDescent="0.25"/>
    <row r="194" s="2" customFormat="1" x14ac:dyDescent="0.25"/>
    <row r="195" s="2" customFormat="1" x14ac:dyDescent="0.25"/>
    <row r="196" s="2" customFormat="1" x14ac:dyDescent="0.25"/>
    <row r="197" s="2" customFormat="1" x14ac:dyDescent="0.25"/>
    <row r="198" s="2" customFormat="1" x14ac:dyDescent="0.25"/>
    <row r="199" s="2" customFormat="1" x14ac:dyDescent="0.25"/>
    <row r="200" s="2" customFormat="1" x14ac:dyDescent="0.25"/>
    <row r="201" s="2" customFormat="1" x14ac:dyDescent="0.25"/>
    <row r="202" s="2" customFormat="1" x14ac:dyDescent="0.25"/>
    <row r="203" s="2" customFormat="1" x14ac:dyDescent="0.25"/>
    <row r="204" s="2" customFormat="1" x14ac:dyDescent="0.25"/>
    <row r="205" s="2" customFormat="1" x14ac:dyDescent="0.25"/>
    <row r="206" s="2" customFormat="1" x14ac:dyDescent="0.25"/>
    <row r="207" s="2" customFormat="1" x14ac:dyDescent="0.25"/>
    <row r="208" s="2" customFormat="1" x14ac:dyDescent="0.25"/>
    <row r="209" s="2" customFormat="1" x14ac:dyDescent="0.25"/>
    <row r="210" s="2" customFormat="1" x14ac:dyDescent="0.25"/>
    <row r="211" s="2" customFormat="1" x14ac:dyDescent="0.25"/>
    <row r="212" s="2" customFormat="1" x14ac:dyDescent="0.25"/>
    <row r="213" s="2" customFormat="1" x14ac:dyDescent="0.25"/>
    <row r="214" s="2" customFormat="1" x14ac:dyDescent="0.25"/>
    <row r="215" s="2" customFormat="1" x14ac:dyDescent="0.25"/>
    <row r="216" s="2" customFormat="1" x14ac:dyDescent="0.25"/>
    <row r="217" s="2" customFormat="1" x14ac:dyDescent="0.25"/>
    <row r="218" s="2" customFormat="1" x14ac:dyDescent="0.25"/>
    <row r="219" s="2" customFormat="1" x14ac:dyDescent="0.25"/>
    <row r="220" s="2" customFormat="1" x14ac:dyDescent="0.25"/>
    <row r="221" s="2" customFormat="1" x14ac:dyDescent="0.25"/>
    <row r="222" s="2" customFormat="1" x14ac:dyDescent="0.25"/>
    <row r="223" s="2" customFormat="1" x14ac:dyDescent="0.25"/>
    <row r="224" s="2" customFormat="1" x14ac:dyDescent="0.25"/>
    <row r="225" s="2" customFormat="1" x14ac:dyDescent="0.25"/>
    <row r="226" s="2" customFormat="1" x14ac:dyDescent="0.25"/>
    <row r="227" s="2" customFormat="1" x14ac:dyDescent="0.25"/>
    <row r="228" s="2" customFormat="1" x14ac:dyDescent="0.25"/>
    <row r="229" s="2" customFormat="1" x14ac:dyDescent="0.25"/>
    <row r="230" s="2" customFormat="1" x14ac:dyDescent="0.25"/>
    <row r="231" s="2" customFormat="1" x14ac:dyDescent="0.25"/>
    <row r="232" s="2" customFormat="1" x14ac:dyDescent="0.25"/>
    <row r="233" s="2" customFormat="1" x14ac:dyDescent="0.25"/>
    <row r="234" s="2" customFormat="1" x14ac:dyDescent="0.25"/>
    <row r="235" s="2" customFormat="1" x14ac:dyDescent="0.25"/>
    <row r="236" s="2" customFormat="1" x14ac:dyDescent="0.25"/>
    <row r="237" s="2" customFormat="1" x14ac:dyDescent="0.25"/>
    <row r="238" s="2" customFormat="1" x14ac:dyDescent="0.25"/>
    <row r="239" s="2" customFormat="1" x14ac:dyDescent="0.25"/>
    <row r="240" s="2" customFormat="1" x14ac:dyDescent="0.25"/>
    <row r="241" s="2" customFormat="1" x14ac:dyDescent="0.25"/>
    <row r="242" s="2" customFormat="1" x14ac:dyDescent="0.25"/>
    <row r="243" s="2" customFormat="1" x14ac:dyDescent="0.25"/>
    <row r="244" s="2" customFormat="1" x14ac:dyDescent="0.25"/>
    <row r="245" s="2" customFormat="1" x14ac:dyDescent="0.25"/>
    <row r="246" s="2" customFormat="1" x14ac:dyDescent="0.25"/>
    <row r="247" s="2" customFormat="1" x14ac:dyDescent="0.25"/>
    <row r="248" s="2" customFormat="1" x14ac:dyDescent="0.25"/>
    <row r="249" s="2" customFormat="1" x14ac:dyDescent="0.25"/>
    <row r="250" s="2" customFormat="1" x14ac:dyDescent="0.25"/>
    <row r="251" s="2" customFormat="1" x14ac:dyDescent="0.25"/>
    <row r="252" s="2" customFormat="1" x14ac:dyDescent="0.25"/>
    <row r="253" s="2" customFormat="1" x14ac:dyDescent="0.25"/>
    <row r="254" s="2" customFormat="1" x14ac:dyDescent="0.25"/>
    <row r="255" s="2" customFormat="1" x14ac:dyDescent="0.25"/>
    <row r="256" s="2" customFormat="1" x14ac:dyDescent="0.25"/>
    <row r="257" s="2" customFormat="1" x14ac:dyDescent="0.25"/>
    <row r="258" s="2" customFormat="1" x14ac:dyDescent="0.25"/>
    <row r="259" s="2" customFormat="1" x14ac:dyDescent="0.25"/>
    <row r="260" s="2" customFormat="1" x14ac:dyDescent="0.25"/>
    <row r="261" s="2" customFormat="1" x14ac:dyDescent="0.25"/>
    <row r="262" s="2" customFormat="1" x14ac:dyDescent="0.25"/>
    <row r="263" s="2" customFormat="1" x14ac:dyDescent="0.25"/>
    <row r="264" s="2" customFormat="1" x14ac:dyDescent="0.25"/>
    <row r="265" s="2" customFormat="1" x14ac:dyDescent="0.25"/>
    <row r="266" s="2" customFormat="1" x14ac:dyDescent="0.25"/>
    <row r="267" s="2" customFormat="1" x14ac:dyDescent="0.25"/>
    <row r="268" s="2" customFormat="1" x14ac:dyDescent="0.25"/>
    <row r="269" s="2" customFormat="1" x14ac:dyDescent="0.25"/>
    <row r="270" s="2" customFormat="1" x14ac:dyDescent="0.25"/>
    <row r="271" s="2" customFormat="1" x14ac:dyDescent="0.25"/>
    <row r="272" s="2" customFormat="1" x14ac:dyDescent="0.25"/>
    <row r="273" s="2" customFormat="1" x14ac:dyDescent="0.25"/>
    <row r="274" s="2" customFormat="1" x14ac:dyDescent="0.25"/>
    <row r="275" s="2" customFormat="1" x14ac:dyDescent="0.25"/>
    <row r="276" s="2" customFormat="1" x14ac:dyDescent="0.25"/>
    <row r="277" s="2" customFormat="1" x14ac:dyDescent="0.25"/>
    <row r="278" s="2" customFormat="1" x14ac:dyDescent="0.25"/>
    <row r="279" s="2" customFormat="1" x14ac:dyDescent="0.25"/>
    <row r="280" s="2" customFormat="1" x14ac:dyDescent="0.25"/>
    <row r="281" s="2" customFormat="1" x14ac:dyDescent="0.25"/>
    <row r="282" s="2" customFormat="1" x14ac:dyDescent="0.25"/>
    <row r="283" s="2" customFormat="1" x14ac:dyDescent="0.25"/>
    <row r="284" s="2" customFormat="1" x14ac:dyDescent="0.25"/>
    <row r="285" s="2" customFormat="1" x14ac:dyDescent="0.25"/>
    <row r="286" s="2" customFormat="1" x14ac:dyDescent="0.25"/>
    <row r="287" s="2" customFormat="1" x14ac:dyDescent="0.25"/>
    <row r="288" s="2" customFormat="1" x14ac:dyDescent="0.25"/>
    <row r="289" s="2" customFormat="1" x14ac:dyDescent="0.25"/>
    <row r="290" s="2" customFormat="1" x14ac:dyDescent="0.25"/>
    <row r="291" s="2" customFormat="1" x14ac:dyDescent="0.25"/>
    <row r="292" s="2" customFormat="1" x14ac:dyDescent="0.25"/>
    <row r="293" s="2" customFormat="1" x14ac:dyDescent="0.25"/>
    <row r="294" s="2" customFormat="1" x14ac:dyDescent="0.25"/>
    <row r="295" s="2" customFormat="1" x14ac:dyDescent="0.25"/>
    <row r="296" s="2" customFormat="1" x14ac:dyDescent="0.25"/>
    <row r="297" s="2" customFormat="1" x14ac:dyDescent="0.25"/>
    <row r="298" s="2" customFormat="1" x14ac:dyDescent="0.25"/>
    <row r="299" s="2" customFormat="1" x14ac:dyDescent="0.25"/>
    <row r="300" s="2" customFormat="1" x14ac:dyDescent="0.25"/>
    <row r="301" s="2" customFormat="1" x14ac:dyDescent="0.25"/>
    <row r="302" s="2" customFormat="1" x14ac:dyDescent="0.25"/>
    <row r="303" s="2" customFormat="1" x14ac:dyDescent="0.25"/>
    <row r="304" s="2" customFormat="1" x14ac:dyDescent="0.25"/>
    <row r="305" s="2" customFormat="1" x14ac:dyDescent="0.25"/>
    <row r="306" s="2" customFormat="1" x14ac:dyDescent="0.25"/>
    <row r="307" s="2" customFormat="1" x14ac:dyDescent="0.25"/>
    <row r="308" s="2" customFormat="1" x14ac:dyDescent="0.25"/>
    <row r="309" s="2" customFormat="1" x14ac:dyDescent="0.25"/>
    <row r="310" s="2" customFormat="1" x14ac:dyDescent="0.25"/>
    <row r="311" s="2" customFormat="1" x14ac:dyDescent="0.25"/>
    <row r="312" s="2" customFormat="1" x14ac:dyDescent="0.25"/>
    <row r="313" s="2" customFormat="1" x14ac:dyDescent="0.25"/>
    <row r="314" s="2" customFormat="1" x14ac:dyDescent="0.25"/>
    <row r="315" s="2" customFormat="1" x14ac:dyDescent="0.25"/>
    <row r="316" s="2" customFormat="1" x14ac:dyDescent="0.25"/>
    <row r="317" s="2" customFormat="1" x14ac:dyDescent="0.25"/>
    <row r="318" s="2" customFormat="1" x14ac:dyDescent="0.25"/>
    <row r="319" s="2" customFormat="1" x14ac:dyDescent="0.25"/>
    <row r="320" s="2" customFormat="1" x14ac:dyDescent="0.25"/>
    <row r="321" s="2" customFormat="1" x14ac:dyDescent="0.25"/>
    <row r="322" s="2" customFormat="1" x14ac:dyDescent="0.25"/>
    <row r="323" s="2" customFormat="1" x14ac:dyDescent="0.25"/>
    <row r="324" s="2" customFormat="1" x14ac:dyDescent="0.25"/>
    <row r="325" s="2" customFormat="1" x14ac:dyDescent="0.25"/>
    <row r="326" s="2" customFormat="1" x14ac:dyDescent="0.25"/>
    <row r="327" s="2" customFormat="1" x14ac:dyDescent="0.25"/>
    <row r="328" s="2" customFormat="1" x14ac:dyDescent="0.25"/>
    <row r="329" s="2" customFormat="1" x14ac:dyDescent="0.25"/>
    <row r="330" s="2" customFormat="1" x14ac:dyDescent="0.25"/>
    <row r="331" s="2" customFormat="1" x14ac:dyDescent="0.25"/>
    <row r="332" s="2" customFormat="1" x14ac:dyDescent="0.25"/>
    <row r="333" s="2" customFormat="1" x14ac:dyDescent="0.25"/>
    <row r="334" s="2" customFormat="1" x14ac:dyDescent="0.25"/>
    <row r="335" s="2" customFormat="1" x14ac:dyDescent="0.25"/>
    <row r="336" s="2" customFormat="1" x14ac:dyDescent="0.25"/>
    <row r="337" s="2" customFormat="1" x14ac:dyDescent="0.25"/>
    <row r="338" s="2" customFormat="1" x14ac:dyDescent="0.25"/>
    <row r="339" s="2" customFormat="1" x14ac:dyDescent="0.25"/>
    <row r="340" s="2" customFormat="1" x14ac:dyDescent="0.25"/>
  </sheetData>
  <sheetProtection algorithmName="SHA-512" hashValue="/6Z652B80/A5MlQGpp2G6xKgwZl4f0A3as5ogiH37sduSyD93h/HG+dVaTWvqBlEfcOYdbQGtRmx7MgNavIMYw==" saltValue="M+riC7Xv8NtBwIjX7NY9sA==" spinCount="100000" sheet="1" objects="1" scenarios="1" selectLockedCells="1"/>
  <pageMargins left="0.25" right="0.25" top="0.75" bottom="0.75" header="0.3" footer="0.3"/>
  <pageSetup scale="53"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0044F-C14D-4592-85D4-FDD4F68A6A47}">
  <sheetPr>
    <pageSetUpPr fitToPage="1"/>
  </sheetPr>
  <dimension ref="A1"/>
  <sheetViews>
    <sheetView zoomScaleNormal="100" workbookViewId="0">
      <selection activeCell="AD3" sqref="AD3"/>
    </sheetView>
  </sheetViews>
  <sheetFormatPr defaultColWidth="9.140625" defaultRowHeight="15" x14ac:dyDescent="0.25"/>
  <cols>
    <col min="1" max="16384" width="9.140625" style="2"/>
  </cols>
  <sheetData/>
  <sheetProtection algorithmName="SHA-512" hashValue="BoTbksVLFD1MsUUBu/cEozIpbzYShctkXYJ6Vlrus9gXxzd8eY0s4nypiOb71/qetbuTItQM2t4l6Ho4rKsHVw==" saltValue="Du+1brVUO1ee+ZsRTQSQgw==" spinCount="100000" sheet="1" objects="1" scenarios="1" selectLockedCells="1"/>
  <pageMargins left="0.25" right="0.25" top="0.75" bottom="0.75" header="0.3" footer="0.3"/>
  <pageSetup scale="5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3EAF2-98F4-4835-B9B2-55D88484F0BF}">
  <sheetPr>
    <pageSetUpPr fitToPage="1"/>
  </sheetPr>
  <dimension ref="A2:K45"/>
  <sheetViews>
    <sheetView showGridLines="0" zoomScaleNormal="100" workbookViewId="0">
      <selection activeCell="L146" sqref="L146"/>
    </sheetView>
  </sheetViews>
  <sheetFormatPr defaultColWidth="9.140625" defaultRowHeight="12.75" x14ac:dyDescent="0.2"/>
  <cols>
    <col min="1" max="2" width="2.28515625" style="33" customWidth="1"/>
    <col min="3" max="3" width="39.28515625" style="33" bestFit="1" customWidth="1"/>
    <col min="4" max="10" width="18.5703125" style="64" customWidth="1"/>
    <col min="11" max="11" width="3.42578125" style="33" customWidth="1"/>
    <col min="12" max="12" width="64" style="33" bestFit="1" customWidth="1"/>
    <col min="13" max="14" width="3.5703125" style="33" customWidth="1"/>
    <col min="15" max="16384" width="9.140625" style="33"/>
  </cols>
  <sheetData>
    <row r="2" spans="1:11" x14ac:dyDescent="0.2">
      <c r="B2" s="34"/>
      <c r="C2" s="34"/>
      <c r="D2" s="35"/>
      <c r="E2" s="35"/>
      <c r="F2" s="35"/>
      <c r="G2" s="35"/>
      <c r="H2" s="35"/>
      <c r="I2" s="36"/>
      <c r="J2" s="35"/>
      <c r="K2" s="34"/>
    </row>
    <row r="3" spans="1:11" x14ac:dyDescent="0.2">
      <c r="B3" s="34"/>
      <c r="C3" s="37" t="s">
        <v>299</v>
      </c>
      <c r="D3" s="38">
        <v>0</v>
      </c>
      <c r="E3" s="38">
        <f>D3+1</f>
        <v>1</v>
      </c>
      <c r="F3" s="38">
        <f>E3+1</f>
        <v>2</v>
      </c>
      <c r="G3" s="38">
        <f>F3+1</f>
        <v>3</v>
      </c>
      <c r="H3" s="38">
        <f>G3+1</f>
        <v>4</v>
      </c>
      <c r="I3" s="38">
        <f>H3+1</f>
        <v>5</v>
      </c>
      <c r="J3" s="39" t="s">
        <v>300</v>
      </c>
      <c r="K3" s="34"/>
    </row>
    <row r="4" spans="1:11" x14ac:dyDescent="0.2">
      <c r="B4" s="34"/>
      <c r="C4" s="41"/>
      <c r="D4" s="35"/>
      <c r="E4" s="35"/>
      <c r="F4" s="35"/>
      <c r="G4" s="35"/>
      <c r="H4" s="35"/>
      <c r="I4" s="35"/>
      <c r="J4" s="42"/>
      <c r="K4" s="34"/>
    </row>
    <row r="5" spans="1:11" x14ac:dyDescent="0.2">
      <c r="B5" s="34"/>
      <c r="C5" s="41" t="s">
        <v>301</v>
      </c>
      <c r="D5" s="43">
        <f t="shared" ref="D5:I5" si="0">D16</f>
        <v>476000</v>
      </c>
      <c r="E5" s="43">
        <f t="shared" si="0"/>
        <v>3570000</v>
      </c>
      <c r="F5" s="43">
        <f t="shared" si="0"/>
        <v>11900000</v>
      </c>
      <c r="G5" s="43">
        <f t="shared" si="0"/>
        <v>35700000</v>
      </c>
      <c r="H5" s="43">
        <f t="shared" si="0"/>
        <v>71400000</v>
      </c>
      <c r="I5" s="43">
        <f t="shared" si="0"/>
        <v>107100000</v>
      </c>
      <c r="J5" s="44">
        <f>SUM(D5:I5)</f>
        <v>230146000</v>
      </c>
      <c r="K5" s="34"/>
    </row>
    <row r="6" spans="1:11" x14ac:dyDescent="0.2">
      <c r="B6" s="34"/>
      <c r="C6" s="41" t="s">
        <v>302</v>
      </c>
      <c r="D6" s="45">
        <f>('Detailed Calculations'!D64)</f>
        <v>204960</v>
      </c>
      <c r="E6" s="45">
        <f>('Detailed Calculations'!E64)</f>
        <v>1537200</v>
      </c>
      <c r="F6" s="45">
        <f>('Detailed Calculations'!F64)</f>
        <v>5124000</v>
      </c>
      <c r="G6" s="45">
        <f>('Detailed Calculations'!G64)</f>
        <v>14091000</v>
      </c>
      <c r="H6" s="45">
        <f>('Detailed Calculations'!H64)</f>
        <v>26901000</v>
      </c>
      <c r="I6" s="45">
        <f>('Detailed Calculations'!I64)</f>
        <v>40351500</v>
      </c>
      <c r="J6" s="46">
        <f>('Detailed Calculations'!J64)</f>
        <v>88209660</v>
      </c>
      <c r="K6" s="34"/>
    </row>
    <row r="7" spans="1:11" x14ac:dyDescent="0.2">
      <c r="B7" s="34"/>
      <c r="C7" s="41" t="s">
        <v>303</v>
      </c>
      <c r="D7" s="43">
        <f>D5-D6</f>
        <v>271040</v>
      </c>
      <c r="E7" s="43">
        <f>('Detailed Calculations'!D66)</f>
        <v>271040</v>
      </c>
      <c r="F7" s="43">
        <f>('Detailed Calculations'!F66)</f>
        <v>6776000</v>
      </c>
      <c r="G7" s="43">
        <f>('Detailed Calculations'!G66)</f>
        <v>21609000</v>
      </c>
      <c r="H7" s="43">
        <f>('Detailed Calculations'!H66)</f>
        <v>44499000</v>
      </c>
      <c r="I7" s="43">
        <f>('Detailed Calculations'!I66)</f>
        <v>66748500</v>
      </c>
      <c r="J7" s="44">
        <f>('Detailed Calculations'!J66)</f>
        <v>141936340</v>
      </c>
      <c r="K7" s="34"/>
    </row>
    <row r="8" spans="1:11" x14ac:dyDescent="0.2">
      <c r="B8" s="34"/>
      <c r="C8" s="47" t="s">
        <v>304</v>
      </c>
      <c r="D8" s="48"/>
      <c r="E8" s="48">
        <f t="shared" ref="E8:J8" si="1">E7/E5</f>
        <v>7.5921568627450975E-2</v>
      </c>
      <c r="F8" s="48">
        <f t="shared" si="1"/>
        <v>0.56941176470588239</v>
      </c>
      <c r="G8" s="48">
        <f t="shared" si="1"/>
        <v>0.60529411764705887</v>
      </c>
      <c r="H8" s="48">
        <f t="shared" si="1"/>
        <v>0.62323529411764711</v>
      </c>
      <c r="I8" s="48">
        <f t="shared" si="1"/>
        <v>0.62323529411764711</v>
      </c>
      <c r="J8" s="49">
        <f t="shared" si="1"/>
        <v>0.61672303668106332</v>
      </c>
      <c r="K8" s="34"/>
    </row>
    <row r="9" spans="1:11" x14ac:dyDescent="0.2">
      <c r="B9" s="34"/>
      <c r="C9" s="41"/>
      <c r="D9" s="50"/>
      <c r="E9" s="50"/>
      <c r="F9" s="50"/>
      <c r="G9" s="50"/>
      <c r="H9" s="50"/>
      <c r="I9" s="50"/>
      <c r="J9" s="51"/>
      <c r="K9" s="34"/>
    </row>
    <row r="10" spans="1:11" x14ac:dyDescent="0.2">
      <c r="B10" s="34"/>
      <c r="C10" s="41" t="s">
        <v>305</v>
      </c>
      <c r="D10" s="45">
        <f>('Detailed Calculations'!D74)</f>
        <v>513526</v>
      </c>
      <c r="E10" s="45">
        <f>('Detailed Calculations'!E74)</f>
        <v>1991800</v>
      </c>
      <c r="F10" s="45">
        <f>('Detailed Calculations'!F74)</f>
        <v>4333857</v>
      </c>
      <c r="G10" s="45">
        <f>('Detailed Calculations'!G74)</f>
        <v>10467286</v>
      </c>
      <c r="H10" s="45">
        <f>('Detailed Calculations'!H74)</f>
        <v>19535286</v>
      </c>
      <c r="I10" s="45">
        <f>('Detailed Calculations'!I74)</f>
        <v>28675554</v>
      </c>
      <c r="J10" s="46">
        <f>('Detailed Calculations'!J74)</f>
        <v>65517309</v>
      </c>
      <c r="K10" s="34"/>
    </row>
    <row r="11" spans="1:11" x14ac:dyDescent="0.2">
      <c r="A11" s="52"/>
      <c r="B11" s="34"/>
      <c r="C11" s="41" t="s">
        <v>306</v>
      </c>
      <c r="D11" s="43">
        <f>D7-D10</f>
        <v>-242486</v>
      </c>
      <c r="E11" s="43">
        <f>('Detailed Calculations'!E75)</f>
        <v>41000</v>
      </c>
      <c r="F11" s="43">
        <f>('Detailed Calculations'!F75)</f>
        <v>2442143</v>
      </c>
      <c r="G11" s="43">
        <f>('Detailed Calculations'!G75)</f>
        <v>11141714</v>
      </c>
      <c r="H11" s="43">
        <f>('Detailed Calculations'!H75)</f>
        <v>24963714</v>
      </c>
      <c r="I11" s="43">
        <f>('Detailed Calculations'!I75)</f>
        <v>38072946</v>
      </c>
      <c r="J11" s="44">
        <f>('Detailed Calculations'!J75)</f>
        <v>76419031</v>
      </c>
      <c r="K11" s="34"/>
    </row>
    <row r="12" spans="1:11" x14ac:dyDescent="0.2">
      <c r="B12" s="34"/>
      <c r="C12" s="53" t="s">
        <v>307</v>
      </c>
      <c r="D12" s="54">
        <f t="shared" ref="D12:J12" si="2">D11/D5</f>
        <v>-0.50942436974789918</v>
      </c>
      <c r="E12" s="54">
        <f t="shared" si="2"/>
        <v>1.1484593837535015E-2</v>
      </c>
      <c r="F12" s="54">
        <f t="shared" si="2"/>
        <v>0.20522210084033612</v>
      </c>
      <c r="G12" s="54">
        <f t="shared" si="2"/>
        <v>0.31209282913165265</v>
      </c>
      <c r="H12" s="54">
        <f t="shared" si="2"/>
        <v>0.34963184873949582</v>
      </c>
      <c r="I12" s="54">
        <f t="shared" si="2"/>
        <v>0.35548969187675072</v>
      </c>
      <c r="J12" s="55">
        <f t="shared" si="2"/>
        <v>0.33204587957209769</v>
      </c>
      <c r="K12" s="34"/>
    </row>
    <row r="13" spans="1:11" x14ac:dyDescent="0.2">
      <c r="B13" s="34"/>
      <c r="C13" s="34"/>
      <c r="D13" s="50"/>
      <c r="E13" s="50"/>
      <c r="F13" s="50"/>
      <c r="G13" s="50"/>
      <c r="H13" s="50"/>
      <c r="I13" s="50"/>
      <c r="J13" s="50"/>
      <c r="K13" s="34"/>
    </row>
    <row r="14" spans="1:11" x14ac:dyDescent="0.2">
      <c r="B14" s="34"/>
      <c r="C14" s="37" t="s">
        <v>308</v>
      </c>
      <c r="D14" s="38">
        <f t="shared" ref="D14:I14" si="3">D3</f>
        <v>0</v>
      </c>
      <c r="E14" s="38">
        <f t="shared" si="3"/>
        <v>1</v>
      </c>
      <c r="F14" s="38">
        <f t="shared" si="3"/>
        <v>2</v>
      </c>
      <c r="G14" s="38">
        <f t="shared" si="3"/>
        <v>3</v>
      </c>
      <c r="H14" s="38">
        <f t="shared" si="3"/>
        <v>4</v>
      </c>
      <c r="I14" s="38">
        <f t="shared" si="3"/>
        <v>5</v>
      </c>
      <c r="J14" s="39" t="s">
        <v>300</v>
      </c>
      <c r="K14" s="34"/>
    </row>
    <row r="15" spans="1:11" x14ac:dyDescent="0.2">
      <c r="B15" s="34"/>
      <c r="C15" s="41"/>
      <c r="D15" s="50"/>
      <c r="E15" s="50"/>
      <c r="F15" s="50"/>
      <c r="G15" s="50"/>
      <c r="H15" s="50"/>
      <c r="I15" s="50"/>
      <c r="J15" s="56"/>
      <c r="K15" s="34"/>
    </row>
    <row r="16" spans="1:11" x14ac:dyDescent="0.2">
      <c r="B16" s="34"/>
      <c r="C16" s="57" t="s">
        <v>309</v>
      </c>
      <c r="D16" s="196">
        <f>SUM(D22+D27+D32+D37+D42)</f>
        <v>476000</v>
      </c>
      <c r="E16" s="196">
        <f t="shared" ref="E16:I16" si="4">SUM(E22+E27+E32+E37+E42)</f>
        <v>3570000</v>
      </c>
      <c r="F16" s="196">
        <f t="shared" si="4"/>
        <v>11900000</v>
      </c>
      <c r="G16" s="196">
        <f t="shared" si="4"/>
        <v>35700000</v>
      </c>
      <c r="H16" s="196">
        <f t="shared" si="4"/>
        <v>71400000</v>
      </c>
      <c r="I16" s="196">
        <f t="shared" si="4"/>
        <v>107100000</v>
      </c>
      <c r="J16" s="194">
        <f>SUM(J22+J27+J32+J37+J42)</f>
        <v>230146000</v>
      </c>
      <c r="K16" s="34"/>
    </row>
    <row r="17" spans="2:11" x14ac:dyDescent="0.2">
      <c r="B17" s="34"/>
      <c r="C17" s="41"/>
      <c r="D17" s="50"/>
      <c r="E17" s="50"/>
      <c r="F17" s="50"/>
      <c r="G17" s="50"/>
      <c r="H17" s="50"/>
      <c r="I17" s="50"/>
      <c r="J17" s="56"/>
      <c r="K17" s="34"/>
    </row>
    <row r="18" spans="2:11" x14ac:dyDescent="0.2">
      <c r="B18" s="34"/>
      <c r="C18" s="58" t="s">
        <v>674</v>
      </c>
      <c r="D18" s="59"/>
      <c r="E18" s="59"/>
      <c r="F18" s="59"/>
      <c r="G18" s="59"/>
      <c r="H18" s="59"/>
      <c r="I18" s="59"/>
      <c r="J18" s="60"/>
      <c r="K18" s="34"/>
    </row>
    <row r="19" spans="2:11" x14ac:dyDescent="0.2">
      <c r="B19" s="34"/>
      <c r="C19" s="195" t="s">
        <v>672</v>
      </c>
      <c r="D19" s="61"/>
      <c r="E19" s="61"/>
      <c r="F19" s="61"/>
      <c r="G19" s="61"/>
      <c r="H19" s="61"/>
      <c r="I19" s="61"/>
      <c r="J19" s="62"/>
      <c r="K19" s="34"/>
    </row>
    <row r="20" spans="2:11" x14ac:dyDescent="0.2">
      <c r="B20" s="34"/>
      <c r="C20" s="41" t="s">
        <v>311</v>
      </c>
      <c r="D20" s="189">
        <f>'Detailed Calculations'!D6</f>
        <v>0</v>
      </c>
      <c r="E20" s="189">
        <f>'Detailed Calculations'!E6</f>
        <v>0</v>
      </c>
      <c r="F20" s="189">
        <f>'Detailed Calculations'!F6</f>
        <v>0</v>
      </c>
      <c r="G20" s="189">
        <f>'Detailed Calculations'!G6</f>
        <v>0</v>
      </c>
      <c r="H20" s="189">
        <f>'Detailed Calculations'!H6</f>
        <v>0</v>
      </c>
      <c r="I20" s="189">
        <f>'Detailed Calculations'!I6</f>
        <v>0</v>
      </c>
      <c r="J20" s="190">
        <f>SUM(D20:I20)</f>
        <v>0</v>
      </c>
      <c r="K20" s="34"/>
    </row>
    <row r="21" spans="2:11" x14ac:dyDescent="0.2">
      <c r="B21" s="34"/>
      <c r="C21" s="41" t="s">
        <v>312</v>
      </c>
      <c r="D21" s="191">
        <f>'Detailed Calculations'!D16</f>
        <v>400</v>
      </c>
      <c r="E21" s="191">
        <f>'Detailed Calculations'!E16</f>
        <v>400</v>
      </c>
      <c r="F21" s="191">
        <f>'Detailed Calculations'!F16</f>
        <v>400</v>
      </c>
      <c r="G21" s="191">
        <f>'Detailed Calculations'!G16</f>
        <v>400</v>
      </c>
      <c r="H21" s="191">
        <f>'Detailed Calculations'!H16</f>
        <v>400</v>
      </c>
      <c r="I21" s="191">
        <f>'Detailed Calculations'!I16</f>
        <v>400</v>
      </c>
      <c r="J21" s="192"/>
      <c r="K21" s="34"/>
    </row>
    <row r="22" spans="2:11" x14ac:dyDescent="0.2">
      <c r="B22" s="34"/>
      <c r="C22" s="41" t="s">
        <v>313</v>
      </c>
      <c r="D22" s="193">
        <f t="shared" ref="D22:I22" si="5">D20*D21</f>
        <v>0</v>
      </c>
      <c r="E22" s="193">
        <f t="shared" si="5"/>
        <v>0</v>
      </c>
      <c r="F22" s="193">
        <f t="shared" si="5"/>
        <v>0</v>
      </c>
      <c r="G22" s="193">
        <f t="shared" si="5"/>
        <v>0</v>
      </c>
      <c r="H22" s="193">
        <f t="shared" si="5"/>
        <v>0</v>
      </c>
      <c r="I22" s="193">
        <f t="shared" si="5"/>
        <v>0</v>
      </c>
      <c r="J22" s="194">
        <f>SUM(D22:I22)</f>
        <v>0</v>
      </c>
      <c r="K22" s="34"/>
    </row>
    <row r="23" spans="2:11" x14ac:dyDescent="0.2">
      <c r="B23" s="34"/>
      <c r="C23" s="41"/>
      <c r="D23" s="50"/>
      <c r="E23" s="50"/>
      <c r="F23" s="50"/>
      <c r="G23" s="50"/>
      <c r="H23" s="50"/>
      <c r="I23" s="50"/>
      <c r="J23" s="51"/>
      <c r="K23" s="34"/>
    </row>
    <row r="24" spans="2:11" x14ac:dyDescent="0.2">
      <c r="B24" s="34"/>
      <c r="C24" s="195" t="s">
        <v>310</v>
      </c>
      <c r="D24" s="61"/>
      <c r="E24" s="61"/>
      <c r="F24" s="61"/>
      <c r="G24" s="61"/>
      <c r="H24" s="61"/>
      <c r="I24" s="61"/>
      <c r="J24" s="62"/>
      <c r="K24" s="34"/>
    </row>
    <row r="25" spans="2:11" x14ac:dyDescent="0.2">
      <c r="B25" s="34"/>
      <c r="C25" s="41" t="s">
        <v>311</v>
      </c>
      <c r="D25" s="189">
        <f>'Detailed Calculations'!D7</f>
        <v>0</v>
      </c>
      <c r="E25" s="189">
        <f>'Detailed Calculations'!E7</f>
        <v>0</v>
      </c>
      <c r="F25" s="189">
        <f>'Detailed Calculations'!F7</f>
        <v>0</v>
      </c>
      <c r="G25" s="189">
        <f>'Detailed Calculations'!G7</f>
        <v>0</v>
      </c>
      <c r="H25" s="189">
        <f>'Detailed Calculations'!H7</f>
        <v>0</v>
      </c>
      <c r="I25" s="189">
        <f>'Detailed Calculations'!I7</f>
        <v>0</v>
      </c>
      <c r="J25" s="190">
        <f>SUM(D25:I25)</f>
        <v>0</v>
      </c>
      <c r="K25" s="34"/>
    </row>
    <row r="26" spans="2:11" x14ac:dyDescent="0.2">
      <c r="B26" s="34"/>
      <c r="C26" s="41" t="s">
        <v>312</v>
      </c>
      <c r="D26" s="191">
        <f>'Detailed Calculations'!D23</f>
        <v>1020</v>
      </c>
      <c r="E26" s="191">
        <f>'Detailed Calculations'!E23</f>
        <v>1020</v>
      </c>
      <c r="F26" s="191">
        <f>'Detailed Calculations'!F23</f>
        <v>1020</v>
      </c>
      <c r="G26" s="191">
        <f>'Detailed Calculations'!G23</f>
        <v>1020</v>
      </c>
      <c r="H26" s="191">
        <f>'Detailed Calculations'!H23</f>
        <v>1020</v>
      </c>
      <c r="I26" s="191">
        <f>'Detailed Calculations'!I23</f>
        <v>1020</v>
      </c>
      <c r="J26" s="192"/>
      <c r="K26" s="34"/>
    </row>
    <row r="27" spans="2:11" x14ac:dyDescent="0.2">
      <c r="B27" s="34"/>
      <c r="C27" s="41" t="s">
        <v>313</v>
      </c>
      <c r="D27" s="193">
        <f t="shared" ref="D27:I27" si="6">D25*D26</f>
        <v>0</v>
      </c>
      <c r="E27" s="193">
        <f t="shared" si="6"/>
        <v>0</v>
      </c>
      <c r="F27" s="193">
        <f t="shared" si="6"/>
        <v>0</v>
      </c>
      <c r="G27" s="193">
        <f t="shared" si="6"/>
        <v>0</v>
      </c>
      <c r="H27" s="193">
        <f t="shared" si="6"/>
        <v>0</v>
      </c>
      <c r="I27" s="193">
        <f t="shared" si="6"/>
        <v>0</v>
      </c>
      <c r="J27" s="194">
        <f>SUM(D27:I27)</f>
        <v>0</v>
      </c>
      <c r="K27" s="34"/>
    </row>
    <row r="28" spans="2:11" x14ac:dyDescent="0.2">
      <c r="B28" s="34"/>
      <c r="C28" s="41"/>
      <c r="D28" s="50"/>
      <c r="E28" s="50"/>
      <c r="F28" s="50"/>
      <c r="G28" s="50"/>
      <c r="H28" s="50"/>
      <c r="I28" s="50"/>
      <c r="J28" s="51"/>
      <c r="K28" s="34"/>
    </row>
    <row r="29" spans="2:11" x14ac:dyDescent="0.2">
      <c r="B29" s="34"/>
      <c r="C29" s="195" t="s">
        <v>314</v>
      </c>
      <c r="D29" s="61"/>
      <c r="E29" s="61"/>
      <c r="F29" s="61"/>
      <c r="G29" s="61"/>
      <c r="H29" s="61"/>
      <c r="I29" s="61"/>
      <c r="J29" s="62"/>
      <c r="K29" s="34"/>
    </row>
    <row r="30" spans="2:11" x14ac:dyDescent="0.2">
      <c r="B30" s="34"/>
      <c r="C30" s="41" t="s">
        <v>311</v>
      </c>
      <c r="D30" s="189">
        <f>'Detailed Calculations'!D8</f>
        <v>200</v>
      </c>
      <c r="E30" s="189">
        <f>'Detailed Calculations'!E8</f>
        <v>1500</v>
      </c>
      <c r="F30" s="189">
        <f>'Detailed Calculations'!F8</f>
        <v>5000</v>
      </c>
      <c r="G30" s="189">
        <f>'Detailed Calculations'!G8</f>
        <v>15000</v>
      </c>
      <c r="H30" s="189">
        <f>'Detailed Calculations'!H8</f>
        <v>30000</v>
      </c>
      <c r="I30" s="189">
        <f>'Detailed Calculations'!I8</f>
        <v>45000</v>
      </c>
      <c r="J30" s="190">
        <f>SUM(D30:I30)</f>
        <v>96700</v>
      </c>
      <c r="K30" s="34"/>
    </row>
    <row r="31" spans="2:11" x14ac:dyDescent="0.2">
      <c r="B31" s="34"/>
      <c r="C31" s="41" t="s">
        <v>312</v>
      </c>
      <c r="D31" s="191">
        <f>'Detailed Calculations'!D30</f>
        <v>2380</v>
      </c>
      <c r="E31" s="191">
        <f>'Detailed Calculations'!E30</f>
        <v>2380</v>
      </c>
      <c r="F31" s="191">
        <f>'Detailed Calculations'!F30</f>
        <v>2380</v>
      </c>
      <c r="G31" s="191">
        <f>'Detailed Calculations'!G30</f>
        <v>2380</v>
      </c>
      <c r="H31" s="191">
        <f>'Detailed Calculations'!H30</f>
        <v>2380</v>
      </c>
      <c r="I31" s="191">
        <f>'Detailed Calculations'!I30</f>
        <v>2380</v>
      </c>
      <c r="J31" s="192"/>
      <c r="K31" s="34"/>
    </row>
    <row r="32" spans="2:11" x14ac:dyDescent="0.2">
      <c r="B32" s="34"/>
      <c r="C32" s="41" t="s">
        <v>313</v>
      </c>
      <c r="D32" s="193">
        <f t="shared" ref="D32:I32" si="7">D30*D31</f>
        <v>476000</v>
      </c>
      <c r="E32" s="193">
        <f t="shared" si="7"/>
        <v>3570000</v>
      </c>
      <c r="F32" s="193">
        <f t="shared" si="7"/>
        <v>11900000</v>
      </c>
      <c r="G32" s="193">
        <f t="shared" si="7"/>
        <v>35700000</v>
      </c>
      <c r="H32" s="193">
        <f t="shared" si="7"/>
        <v>71400000</v>
      </c>
      <c r="I32" s="193">
        <f t="shared" si="7"/>
        <v>107100000</v>
      </c>
      <c r="J32" s="194">
        <f>SUM(D32:I32)</f>
        <v>230146000</v>
      </c>
      <c r="K32" s="34"/>
    </row>
    <row r="33" spans="2:11" x14ac:dyDescent="0.2">
      <c r="B33" s="34"/>
      <c r="C33" s="41"/>
      <c r="D33" s="50"/>
      <c r="E33" s="50"/>
      <c r="F33" s="50"/>
      <c r="G33" s="50"/>
      <c r="H33" s="50"/>
      <c r="I33" s="50"/>
      <c r="J33" s="51"/>
      <c r="K33" s="34"/>
    </row>
    <row r="34" spans="2:11" x14ac:dyDescent="0.2">
      <c r="B34" s="34"/>
      <c r="C34" s="195" t="s">
        <v>673</v>
      </c>
      <c r="D34" s="61"/>
      <c r="E34" s="61"/>
      <c r="F34" s="61"/>
      <c r="G34" s="61"/>
      <c r="H34" s="61"/>
      <c r="I34" s="61"/>
      <c r="J34" s="62"/>
      <c r="K34" s="34"/>
    </row>
    <row r="35" spans="2:11" x14ac:dyDescent="0.2">
      <c r="B35" s="34"/>
      <c r="C35" s="41" t="s">
        <v>311</v>
      </c>
      <c r="D35" s="189">
        <f>'Detailed Calculations'!D9</f>
        <v>0</v>
      </c>
      <c r="E35" s="189">
        <f>'Detailed Calculations'!E9</f>
        <v>0</v>
      </c>
      <c r="F35" s="189">
        <f>'Detailed Calculations'!F9</f>
        <v>0</v>
      </c>
      <c r="G35" s="189">
        <f>'Detailed Calculations'!G9</f>
        <v>0</v>
      </c>
      <c r="H35" s="189">
        <f>'Detailed Calculations'!H9</f>
        <v>0</v>
      </c>
      <c r="I35" s="189">
        <f>'Detailed Calculations'!I9</f>
        <v>0</v>
      </c>
      <c r="J35" s="190">
        <f>SUM(D35:I35)</f>
        <v>0</v>
      </c>
      <c r="K35" s="34"/>
    </row>
    <row r="36" spans="2:11" x14ac:dyDescent="0.2">
      <c r="B36" s="34"/>
      <c r="C36" s="41" t="s">
        <v>312</v>
      </c>
      <c r="D36" s="191">
        <f>'Detailed Calculations'!D37</f>
        <v>2950</v>
      </c>
      <c r="E36" s="191">
        <f>'Detailed Calculations'!E37</f>
        <v>2950</v>
      </c>
      <c r="F36" s="191">
        <f>'Detailed Calculations'!F37</f>
        <v>2950</v>
      </c>
      <c r="G36" s="191">
        <f>'Detailed Calculations'!G37</f>
        <v>2950</v>
      </c>
      <c r="H36" s="191">
        <f>'Detailed Calculations'!H37</f>
        <v>2950</v>
      </c>
      <c r="I36" s="191">
        <f>'Detailed Calculations'!I37</f>
        <v>2950</v>
      </c>
      <c r="J36" s="192"/>
      <c r="K36" s="34"/>
    </row>
    <row r="37" spans="2:11" x14ac:dyDescent="0.2">
      <c r="B37" s="34"/>
      <c r="C37" s="41" t="s">
        <v>313</v>
      </c>
      <c r="D37" s="193">
        <f t="shared" ref="D37:I37" si="8">D35*D36</f>
        <v>0</v>
      </c>
      <c r="E37" s="193">
        <f t="shared" si="8"/>
        <v>0</v>
      </c>
      <c r="F37" s="193">
        <f t="shared" si="8"/>
        <v>0</v>
      </c>
      <c r="G37" s="193">
        <f t="shared" si="8"/>
        <v>0</v>
      </c>
      <c r="H37" s="193">
        <f t="shared" si="8"/>
        <v>0</v>
      </c>
      <c r="I37" s="193">
        <f t="shared" si="8"/>
        <v>0</v>
      </c>
      <c r="J37" s="194">
        <f>SUM(D37:I37)</f>
        <v>0</v>
      </c>
      <c r="K37" s="34"/>
    </row>
    <row r="38" spans="2:11" x14ac:dyDescent="0.2">
      <c r="B38" s="34"/>
      <c r="C38" s="41"/>
      <c r="D38" s="50"/>
      <c r="E38" s="50"/>
      <c r="F38" s="50"/>
      <c r="G38" s="50"/>
      <c r="H38" s="50"/>
      <c r="I38" s="50"/>
      <c r="J38" s="51"/>
      <c r="K38" s="34"/>
    </row>
    <row r="39" spans="2:11" x14ac:dyDescent="0.2">
      <c r="B39" s="34"/>
      <c r="C39" s="195" t="s">
        <v>315</v>
      </c>
      <c r="D39" s="61"/>
      <c r="E39" s="61"/>
      <c r="F39" s="61"/>
      <c r="G39" s="61"/>
      <c r="H39" s="61"/>
      <c r="I39" s="61"/>
      <c r="J39" s="62"/>
      <c r="K39" s="34"/>
    </row>
    <row r="40" spans="2:11" x14ac:dyDescent="0.2">
      <c r="B40" s="34"/>
      <c r="C40" s="41" t="s">
        <v>311</v>
      </c>
      <c r="D40" s="189">
        <f>'Detailed Calculations'!D10</f>
        <v>0</v>
      </c>
      <c r="E40" s="189">
        <f>'Detailed Calculations'!E10</f>
        <v>0</v>
      </c>
      <c r="F40" s="189">
        <f>'Detailed Calculations'!F10</f>
        <v>0</v>
      </c>
      <c r="G40" s="189">
        <f>'Detailed Calculations'!G10</f>
        <v>0</v>
      </c>
      <c r="H40" s="189">
        <f>'Detailed Calculations'!H10</f>
        <v>0</v>
      </c>
      <c r="I40" s="189">
        <f>'Detailed Calculations'!I10</f>
        <v>0</v>
      </c>
      <c r="J40" s="190">
        <f>SUM(D40:I40)</f>
        <v>0</v>
      </c>
      <c r="K40" s="34"/>
    </row>
    <row r="41" spans="2:11" x14ac:dyDescent="0.2">
      <c r="B41" s="34"/>
      <c r="C41" s="41" t="s">
        <v>312</v>
      </c>
      <c r="D41" s="191">
        <f>'Detailed Calculations'!D44</f>
        <v>3570</v>
      </c>
      <c r="E41" s="191">
        <f>'Detailed Calculations'!E44</f>
        <v>3570</v>
      </c>
      <c r="F41" s="191">
        <f>'Detailed Calculations'!F44</f>
        <v>3570</v>
      </c>
      <c r="G41" s="191">
        <f>'Detailed Calculations'!G44</f>
        <v>3570</v>
      </c>
      <c r="H41" s="191">
        <f>'Detailed Calculations'!H44</f>
        <v>3570</v>
      </c>
      <c r="I41" s="191">
        <f>'Detailed Calculations'!I44</f>
        <v>3570</v>
      </c>
      <c r="J41" s="192"/>
      <c r="K41" s="34"/>
    </row>
    <row r="42" spans="2:11" x14ac:dyDescent="0.2">
      <c r="B42" s="34"/>
      <c r="C42" s="41" t="s">
        <v>313</v>
      </c>
      <c r="D42" s="193">
        <f t="shared" ref="D42:I42" si="9">D40*D41</f>
        <v>0</v>
      </c>
      <c r="E42" s="193">
        <f t="shared" si="9"/>
        <v>0</v>
      </c>
      <c r="F42" s="193">
        <f t="shared" si="9"/>
        <v>0</v>
      </c>
      <c r="G42" s="193">
        <f t="shared" si="9"/>
        <v>0</v>
      </c>
      <c r="H42" s="193">
        <f t="shared" si="9"/>
        <v>0</v>
      </c>
      <c r="I42" s="193">
        <f t="shared" si="9"/>
        <v>0</v>
      </c>
      <c r="J42" s="194">
        <f>SUM(D42:I42)</f>
        <v>0</v>
      </c>
      <c r="K42" s="34"/>
    </row>
    <row r="43" spans="2:11" x14ac:dyDescent="0.2">
      <c r="B43" s="34"/>
      <c r="C43" s="41"/>
      <c r="D43" s="50"/>
      <c r="E43" s="50"/>
      <c r="F43" s="50"/>
      <c r="G43" s="50"/>
      <c r="H43" s="50"/>
      <c r="I43" s="50"/>
      <c r="J43" s="51"/>
      <c r="K43" s="34"/>
    </row>
    <row r="44" spans="2:11" x14ac:dyDescent="0.2">
      <c r="B44" s="34"/>
      <c r="C44" s="63"/>
      <c r="D44" s="45"/>
      <c r="E44" s="45"/>
      <c r="F44" s="45"/>
      <c r="G44" s="45"/>
      <c r="H44" s="45"/>
      <c r="I44" s="45"/>
      <c r="J44" s="46"/>
      <c r="K44" s="34"/>
    </row>
    <row r="45" spans="2:11" x14ac:dyDescent="0.2">
      <c r="B45" s="34"/>
      <c r="C45" s="34"/>
      <c r="D45" s="35"/>
      <c r="E45" s="35"/>
      <c r="F45" s="35"/>
      <c r="G45" s="35"/>
      <c r="H45" s="35"/>
      <c r="I45" s="35"/>
      <c r="J45" s="35"/>
      <c r="K45" s="34"/>
    </row>
  </sheetData>
  <sheetProtection algorithmName="SHA-512" hashValue="Lo7keCdMtE+opAKcxu9ZLuyqtlqCYPjPwMu+aUhHXP7ncIpkiMD4rsMVUwlaEAUaJyORtjbOgY/rXXNDxdLjaQ==" saltValue="dXOP5+3ir36ZrUiVlsutdQ==" spinCount="100000" sheet="1" objects="1" scenarios="1" selectLockedCells="1"/>
  <pageMargins left="0.25" right="0.25" top="0.75" bottom="0.75" header="0.3" footer="0.3"/>
  <pageSetup scale="76"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C5A4E-C8B1-431F-BB75-E47F4CF98264}">
  <sheetPr>
    <pageSetUpPr fitToPage="1"/>
  </sheetPr>
  <dimension ref="B2:AT95"/>
  <sheetViews>
    <sheetView showGridLines="0" zoomScale="90" zoomScaleNormal="90" workbookViewId="0">
      <selection activeCell="AI138" sqref="AI138"/>
    </sheetView>
  </sheetViews>
  <sheetFormatPr defaultColWidth="9.140625" defaultRowHeight="12.75" x14ac:dyDescent="0.2"/>
  <cols>
    <col min="1" max="2" width="3.5703125" style="33" customWidth="1"/>
    <col min="3" max="3" width="55.85546875" style="33" customWidth="1"/>
    <col min="4" max="5" width="18.5703125" style="33" customWidth="1"/>
    <col min="6" max="10" width="21" style="33" bestFit="1" customWidth="1"/>
    <col min="11" max="39" width="3.5703125" style="33" customWidth="1"/>
    <col min="40" max="40" width="23.140625" style="33" bestFit="1" customWidth="1"/>
    <col min="41" max="41" width="9.140625" style="33"/>
    <col min="42" max="43" width="10.5703125" style="33" customWidth="1"/>
    <col min="44" max="46" width="11.42578125" style="33" bestFit="1" customWidth="1"/>
    <col min="47" max="16384" width="9.140625" style="33"/>
  </cols>
  <sheetData>
    <row r="2" spans="2:46" x14ac:dyDescent="0.2">
      <c r="B2" s="34"/>
      <c r="C2" s="34"/>
      <c r="D2" s="34"/>
      <c r="E2" s="34"/>
      <c r="F2" s="34"/>
      <c r="G2" s="34"/>
      <c r="H2" s="34"/>
      <c r="I2" s="34"/>
      <c r="J2" s="34"/>
      <c r="K2" s="34"/>
    </row>
    <row r="3" spans="2:46" x14ac:dyDescent="0.2">
      <c r="B3" s="34"/>
      <c r="C3" s="66" t="s">
        <v>316</v>
      </c>
      <c r="D3" s="67"/>
      <c r="E3" s="67"/>
      <c r="F3" s="67"/>
      <c r="G3" s="67"/>
      <c r="H3" s="67"/>
      <c r="I3" s="67"/>
      <c r="J3" s="68"/>
      <c r="K3" s="34"/>
    </row>
    <row r="4" spans="2:46" x14ac:dyDescent="0.2">
      <c r="B4" s="34"/>
      <c r="C4" s="69" t="s">
        <v>317</v>
      </c>
      <c r="D4" s="70"/>
      <c r="E4" s="70"/>
      <c r="F4" s="70"/>
      <c r="G4" s="70"/>
      <c r="H4" s="70"/>
      <c r="I4" s="70"/>
      <c r="J4" s="71"/>
      <c r="K4" s="34"/>
    </row>
    <row r="5" spans="2:46" x14ac:dyDescent="0.2">
      <c r="B5" s="34"/>
      <c r="C5" s="72"/>
      <c r="D5" s="73">
        <v>0</v>
      </c>
      <c r="E5" s="73">
        <f>D5+1</f>
        <v>1</v>
      </c>
      <c r="F5" s="73">
        <f>E5+1</f>
        <v>2</v>
      </c>
      <c r="G5" s="73">
        <f>F5+1</f>
        <v>3</v>
      </c>
      <c r="H5" s="73">
        <f>G5+1</f>
        <v>4</v>
      </c>
      <c r="I5" s="73">
        <f>H5+1</f>
        <v>5</v>
      </c>
      <c r="J5" s="74" t="s">
        <v>318</v>
      </c>
      <c r="K5" s="34"/>
      <c r="AQ5" s="75">
        <v>4999</v>
      </c>
      <c r="AR5" s="75">
        <v>14999</v>
      </c>
      <c r="AS5" s="75">
        <v>44999</v>
      </c>
      <c r="AT5" s="75">
        <v>89999</v>
      </c>
    </row>
    <row r="6" spans="2:46" x14ac:dyDescent="0.2">
      <c r="B6" s="34"/>
      <c r="C6" s="76" t="s">
        <v>661</v>
      </c>
      <c r="D6" s="171">
        <v>0</v>
      </c>
      <c r="E6" s="171">
        <v>0</v>
      </c>
      <c r="F6" s="171">
        <v>0</v>
      </c>
      <c r="G6" s="171">
        <v>0</v>
      </c>
      <c r="H6" s="171">
        <v>0</v>
      </c>
      <c r="I6" s="171">
        <v>0</v>
      </c>
      <c r="J6" s="176">
        <f>SUM(D6:I6)</f>
        <v>0</v>
      </c>
      <c r="K6" s="34"/>
      <c r="AN6" s="78" t="s">
        <v>319</v>
      </c>
    </row>
    <row r="7" spans="2:46" x14ac:dyDescent="0.2">
      <c r="B7" s="34"/>
      <c r="C7" s="76" t="s">
        <v>319</v>
      </c>
      <c r="D7" s="171">
        <v>0</v>
      </c>
      <c r="E7" s="171">
        <v>0</v>
      </c>
      <c r="F7" s="171">
        <v>0</v>
      </c>
      <c r="G7" s="171">
        <v>0</v>
      </c>
      <c r="H7" s="171">
        <v>0</v>
      </c>
      <c r="I7" s="171">
        <v>0</v>
      </c>
      <c r="J7" s="176">
        <f>SUM(D7:I7)</f>
        <v>0</v>
      </c>
      <c r="K7" s="34"/>
      <c r="AN7" s="79" t="s">
        <v>321</v>
      </c>
      <c r="AP7" s="33">
        <v>77</v>
      </c>
      <c r="AQ7" s="33">
        <v>61</v>
      </c>
      <c r="AR7" s="33">
        <v>57</v>
      </c>
      <c r="AS7" s="33">
        <v>53</v>
      </c>
      <c r="AT7" s="33">
        <v>50</v>
      </c>
    </row>
    <row r="8" spans="2:46" x14ac:dyDescent="0.2">
      <c r="B8" s="34"/>
      <c r="C8" s="76" t="s">
        <v>320</v>
      </c>
      <c r="D8" s="171">
        <v>200</v>
      </c>
      <c r="E8" s="171">
        <v>1500</v>
      </c>
      <c r="F8" s="171">
        <v>5000</v>
      </c>
      <c r="G8" s="171">
        <v>15000</v>
      </c>
      <c r="H8" s="171">
        <v>30000</v>
      </c>
      <c r="I8" s="171">
        <v>45000</v>
      </c>
      <c r="J8" s="176">
        <f>SUM(D8:I8)</f>
        <v>96700</v>
      </c>
      <c r="K8" s="34"/>
      <c r="AN8" s="79" t="s">
        <v>323</v>
      </c>
      <c r="AP8" s="33">
        <v>454</v>
      </c>
      <c r="AQ8" s="33">
        <v>360</v>
      </c>
      <c r="AR8" s="33">
        <v>337</v>
      </c>
      <c r="AS8" s="33">
        <v>315</v>
      </c>
      <c r="AT8" s="33">
        <v>294</v>
      </c>
    </row>
    <row r="9" spans="2:46" x14ac:dyDescent="0.2">
      <c r="B9" s="34"/>
      <c r="C9" s="76" t="s">
        <v>662</v>
      </c>
      <c r="D9" s="171">
        <v>0</v>
      </c>
      <c r="E9" s="171">
        <v>0</v>
      </c>
      <c r="F9" s="171">
        <v>0</v>
      </c>
      <c r="G9" s="171">
        <v>0</v>
      </c>
      <c r="H9" s="171">
        <v>0</v>
      </c>
      <c r="I9" s="171">
        <v>0</v>
      </c>
      <c r="J9" s="176">
        <f>SUM(D9:I9)</f>
        <v>0</v>
      </c>
      <c r="K9" s="34"/>
      <c r="AN9" s="78" t="s">
        <v>320</v>
      </c>
    </row>
    <row r="10" spans="2:46" x14ac:dyDescent="0.2">
      <c r="B10" s="34"/>
      <c r="C10" s="76" t="s">
        <v>322</v>
      </c>
      <c r="D10" s="174">
        <v>0</v>
      </c>
      <c r="E10" s="174">
        <v>0</v>
      </c>
      <c r="F10" s="174">
        <v>0</v>
      </c>
      <c r="G10" s="174">
        <v>0</v>
      </c>
      <c r="H10" s="174">
        <v>0</v>
      </c>
      <c r="I10" s="174">
        <v>0</v>
      </c>
      <c r="J10" s="175">
        <f>SUM(D10:I10)</f>
        <v>0</v>
      </c>
      <c r="K10" s="34"/>
      <c r="AN10" s="79" t="s">
        <v>321</v>
      </c>
      <c r="AP10" s="33">
        <v>101</v>
      </c>
      <c r="AQ10" s="33">
        <v>81</v>
      </c>
      <c r="AR10" s="33">
        <v>76</v>
      </c>
      <c r="AS10" s="33">
        <v>71</v>
      </c>
      <c r="AT10" s="33">
        <v>66</v>
      </c>
    </row>
    <row r="11" spans="2:46" x14ac:dyDescent="0.2">
      <c r="B11" s="34"/>
      <c r="C11" s="82" t="s">
        <v>300</v>
      </c>
      <c r="D11" s="172">
        <f t="shared" ref="D11:I11" si="0">SUM(D7:D10)</f>
        <v>200</v>
      </c>
      <c r="E11" s="172">
        <f t="shared" si="0"/>
        <v>1500</v>
      </c>
      <c r="F11" s="172">
        <f t="shared" si="0"/>
        <v>5000</v>
      </c>
      <c r="G11" s="172">
        <f t="shared" si="0"/>
        <v>15000</v>
      </c>
      <c r="H11" s="172">
        <f t="shared" si="0"/>
        <v>30000</v>
      </c>
      <c r="I11" s="172">
        <f t="shared" si="0"/>
        <v>45000</v>
      </c>
      <c r="J11" s="173">
        <f>SUM(J6:J10)</f>
        <v>96700</v>
      </c>
      <c r="K11" s="34"/>
      <c r="AN11" s="79" t="s">
        <v>323</v>
      </c>
      <c r="AP11" s="33">
        <v>753</v>
      </c>
      <c r="AQ11" s="33">
        <v>585</v>
      </c>
      <c r="AR11" s="33">
        <v>547</v>
      </c>
      <c r="AS11" s="33">
        <v>511</v>
      </c>
      <c r="AT11" s="33">
        <v>478</v>
      </c>
    </row>
    <row r="12" spans="2:46" x14ac:dyDescent="0.2">
      <c r="B12" s="34"/>
      <c r="C12" s="83"/>
      <c r="D12" s="84"/>
      <c r="E12" s="84"/>
      <c r="F12" s="84"/>
      <c r="G12" s="84"/>
      <c r="H12" s="84"/>
      <c r="I12" s="84"/>
      <c r="J12" s="84"/>
      <c r="K12" s="34"/>
      <c r="AN12" s="78" t="s">
        <v>322</v>
      </c>
    </row>
    <row r="13" spans="2:46" s="78" customFormat="1" x14ac:dyDescent="0.2">
      <c r="B13" s="40"/>
      <c r="C13" s="69" t="s">
        <v>324</v>
      </c>
      <c r="D13" s="70"/>
      <c r="E13" s="70"/>
      <c r="F13" s="70"/>
      <c r="G13" s="70"/>
      <c r="H13" s="70"/>
      <c r="I13" s="70"/>
      <c r="J13" s="85"/>
      <c r="K13" s="40"/>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79" t="s">
        <v>321</v>
      </c>
      <c r="AP13" s="88">
        <v>135</v>
      </c>
      <c r="AQ13" s="33">
        <v>127</v>
      </c>
      <c r="AR13" s="33">
        <v>119</v>
      </c>
      <c r="AS13" s="33">
        <v>111</v>
      </c>
      <c r="AT13" s="33">
        <v>104</v>
      </c>
    </row>
    <row r="14" spans="2:46" x14ac:dyDescent="0.2">
      <c r="B14" s="34"/>
      <c r="C14" s="89"/>
      <c r="D14" s="73">
        <v>0</v>
      </c>
      <c r="E14" s="73">
        <f>D14+1</f>
        <v>1</v>
      </c>
      <c r="F14" s="73">
        <f>E14+1</f>
        <v>2</v>
      </c>
      <c r="G14" s="73">
        <f>F14+1</f>
        <v>3</v>
      </c>
      <c r="H14" s="73">
        <f>G14+1</f>
        <v>4</v>
      </c>
      <c r="I14" s="73">
        <f>H14+1</f>
        <v>5</v>
      </c>
      <c r="J14" s="74"/>
      <c r="K14" s="34"/>
      <c r="AN14" s="79" t="s">
        <v>323</v>
      </c>
      <c r="AP14" s="88">
        <v>821</v>
      </c>
      <c r="AQ14" s="33">
        <v>819</v>
      </c>
      <c r="AR14" s="33">
        <v>766</v>
      </c>
      <c r="AS14" s="33">
        <v>715</v>
      </c>
      <c r="AT14" s="33">
        <v>669</v>
      </c>
    </row>
    <row r="15" spans="2:46" x14ac:dyDescent="0.2">
      <c r="B15" s="34"/>
      <c r="C15" s="86" t="s">
        <v>661</v>
      </c>
      <c r="D15" s="84"/>
      <c r="E15" s="84"/>
      <c r="F15" s="84"/>
      <c r="G15" s="84"/>
      <c r="H15" s="84"/>
      <c r="I15" s="84"/>
      <c r="J15" s="87"/>
      <c r="K15" s="34"/>
    </row>
    <row r="16" spans="2:46" x14ac:dyDescent="0.2">
      <c r="B16" s="34"/>
      <c r="C16" s="89" t="s">
        <v>325</v>
      </c>
      <c r="D16" s="180">
        <v>400</v>
      </c>
      <c r="E16" s="180">
        <v>400</v>
      </c>
      <c r="F16" s="180">
        <v>400</v>
      </c>
      <c r="G16" s="180">
        <v>400</v>
      </c>
      <c r="H16" s="180">
        <v>400</v>
      </c>
      <c r="I16" s="180">
        <v>400</v>
      </c>
      <c r="J16" s="77"/>
      <c r="K16" s="34"/>
    </row>
    <row r="17" spans="2:11" s="93" customFormat="1" x14ac:dyDescent="0.2">
      <c r="B17" s="90"/>
      <c r="C17" s="89" t="s">
        <v>321</v>
      </c>
      <c r="D17" s="179">
        <f>D24*0.18</f>
        <v>13.86</v>
      </c>
      <c r="E17" s="179">
        <f t="shared" ref="E17:I17" si="1">E24*0.18</f>
        <v>13.86</v>
      </c>
      <c r="F17" s="179">
        <f t="shared" si="1"/>
        <v>13.86</v>
      </c>
      <c r="G17" s="179">
        <f t="shared" si="1"/>
        <v>13.86</v>
      </c>
      <c r="H17" s="179">
        <f t="shared" si="1"/>
        <v>13.86</v>
      </c>
      <c r="I17" s="179">
        <f t="shared" si="1"/>
        <v>13.86</v>
      </c>
      <c r="J17" s="77"/>
      <c r="K17" s="90"/>
    </row>
    <row r="18" spans="2:11" x14ac:dyDescent="0.2">
      <c r="B18" s="34"/>
      <c r="C18" s="89" t="s">
        <v>323</v>
      </c>
      <c r="D18" s="179">
        <f>D25*0.18</f>
        <v>81.72</v>
      </c>
      <c r="E18" s="179">
        <f t="shared" ref="E18:I18" si="2">E25*0.18</f>
        <v>81.72</v>
      </c>
      <c r="F18" s="179">
        <f t="shared" si="2"/>
        <v>81.72</v>
      </c>
      <c r="G18" s="179">
        <f t="shared" si="2"/>
        <v>81.72</v>
      </c>
      <c r="H18" s="179">
        <f t="shared" si="2"/>
        <v>81.72</v>
      </c>
      <c r="I18" s="179">
        <f t="shared" si="2"/>
        <v>81.72</v>
      </c>
      <c r="J18" s="77"/>
      <c r="K18" s="34"/>
    </row>
    <row r="19" spans="2:11" s="93" customFormat="1" x14ac:dyDescent="0.2">
      <c r="B19" s="90"/>
      <c r="C19" s="91" t="s">
        <v>326</v>
      </c>
      <c r="D19" s="178">
        <f>SUM(D17:D18)/5</f>
        <v>19.116</v>
      </c>
      <c r="E19" s="178">
        <f>SUM(E17:E18)/5</f>
        <v>19.116</v>
      </c>
      <c r="F19" s="178">
        <f>SUM(F17:F18)/5</f>
        <v>19.116</v>
      </c>
      <c r="G19" s="178">
        <f>SUM(G17:G18)/10</f>
        <v>9.5579999999999998</v>
      </c>
      <c r="H19" s="178">
        <f>SUM(H17:H18)/20</f>
        <v>4.7789999999999999</v>
      </c>
      <c r="I19" s="178">
        <f>SUM(I17:I18)/20</f>
        <v>4.7789999999999999</v>
      </c>
      <c r="J19" s="92"/>
      <c r="K19" s="90"/>
    </row>
    <row r="20" spans="2:11" s="78" customFormat="1" x14ac:dyDescent="0.2">
      <c r="B20" s="40"/>
      <c r="C20" s="94" t="s">
        <v>327</v>
      </c>
      <c r="D20" s="177">
        <f t="shared" ref="D20:I20" si="3">D16-SUM(D17:D19)</f>
        <v>285.30399999999997</v>
      </c>
      <c r="E20" s="177">
        <f t="shared" si="3"/>
        <v>285.30399999999997</v>
      </c>
      <c r="F20" s="177">
        <f t="shared" si="3"/>
        <v>285.30399999999997</v>
      </c>
      <c r="G20" s="177">
        <f t="shared" si="3"/>
        <v>294.86199999999997</v>
      </c>
      <c r="H20" s="177">
        <f t="shared" si="3"/>
        <v>299.64100000000002</v>
      </c>
      <c r="I20" s="177">
        <f t="shared" si="3"/>
        <v>299.64100000000002</v>
      </c>
      <c r="J20" s="87"/>
      <c r="K20" s="40"/>
    </row>
    <row r="21" spans="2:11" x14ac:dyDescent="0.2">
      <c r="B21" s="34"/>
      <c r="C21" s="95" t="s">
        <v>328</v>
      </c>
      <c r="D21" s="96">
        <f t="shared" ref="D21:I21" si="4">D20/D16</f>
        <v>0.71325999999999989</v>
      </c>
      <c r="E21" s="96">
        <f t="shared" si="4"/>
        <v>0.71325999999999989</v>
      </c>
      <c r="F21" s="96">
        <f t="shared" si="4"/>
        <v>0.71325999999999989</v>
      </c>
      <c r="G21" s="96">
        <f t="shared" si="4"/>
        <v>0.73715499999999989</v>
      </c>
      <c r="H21" s="96">
        <f t="shared" si="4"/>
        <v>0.7491025</v>
      </c>
      <c r="I21" s="96">
        <f t="shared" si="4"/>
        <v>0.7491025</v>
      </c>
      <c r="J21" s="97"/>
      <c r="K21" s="34"/>
    </row>
    <row r="22" spans="2:11" x14ac:dyDescent="0.2">
      <c r="B22" s="34"/>
      <c r="C22" s="86" t="s">
        <v>319</v>
      </c>
      <c r="D22" s="84"/>
      <c r="E22" s="84"/>
      <c r="F22" s="84"/>
      <c r="G22" s="84"/>
      <c r="H22" s="84"/>
      <c r="I22" s="84"/>
      <c r="J22" s="87"/>
      <c r="K22" s="34"/>
    </row>
    <row r="23" spans="2:11" x14ac:dyDescent="0.2">
      <c r="B23" s="34"/>
      <c r="C23" s="89" t="s">
        <v>325</v>
      </c>
      <c r="D23" s="180">
        <v>1020</v>
      </c>
      <c r="E23" s="180">
        <v>1020</v>
      </c>
      <c r="F23" s="180">
        <v>1020</v>
      </c>
      <c r="G23" s="180">
        <v>1020</v>
      </c>
      <c r="H23" s="180">
        <v>1020</v>
      </c>
      <c r="I23" s="180">
        <v>1020</v>
      </c>
      <c r="J23" s="77"/>
      <c r="K23" s="34"/>
    </row>
    <row r="24" spans="2:11" s="93" customFormat="1" x14ac:dyDescent="0.2">
      <c r="B24" s="90"/>
      <c r="C24" s="89" t="s">
        <v>321</v>
      </c>
      <c r="D24" s="181">
        <f t="shared" ref="D24:I25" si="5">IF(D$7&gt;$AT$5,$AT7,IF(D$7&gt;$AS$5,$AS7,IF(D$7&gt;$AR$5,$AR7,IF(D$7&gt;$AQ$5,$AQ7,$AP7))))</f>
        <v>77</v>
      </c>
      <c r="E24" s="181">
        <f t="shared" si="5"/>
        <v>77</v>
      </c>
      <c r="F24" s="181">
        <f t="shared" si="5"/>
        <v>77</v>
      </c>
      <c r="G24" s="181">
        <f t="shared" si="5"/>
        <v>77</v>
      </c>
      <c r="H24" s="181">
        <f t="shared" si="5"/>
        <v>77</v>
      </c>
      <c r="I24" s="181">
        <f t="shared" si="5"/>
        <v>77</v>
      </c>
      <c r="J24" s="77"/>
      <c r="K24" s="90"/>
    </row>
    <row r="25" spans="2:11" x14ac:dyDescent="0.2">
      <c r="B25" s="34"/>
      <c r="C25" s="89" t="s">
        <v>323</v>
      </c>
      <c r="D25" s="181">
        <f t="shared" si="5"/>
        <v>454</v>
      </c>
      <c r="E25" s="181">
        <f t="shared" si="5"/>
        <v>454</v>
      </c>
      <c r="F25" s="181">
        <f t="shared" si="5"/>
        <v>454</v>
      </c>
      <c r="G25" s="181">
        <f t="shared" si="5"/>
        <v>454</v>
      </c>
      <c r="H25" s="181">
        <f t="shared" si="5"/>
        <v>454</v>
      </c>
      <c r="I25" s="181">
        <f t="shared" si="5"/>
        <v>454</v>
      </c>
      <c r="J25" s="77"/>
      <c r="K25" s="34"/>
    </row>
    <row r="26" spans="2:11" x14ac:dyDescent="0.2">
      <c r="B26" s="34"/>
      <c r="C26" s="91" t="s">
        <v>326</v>
      </c>
      <c r="D26" s="182">
        <f>SUM(D24:D25)/5</f>
        <v>106.2</v>
      </c>
      <c r="E26" s="182">
        <f>SUM(E24:E25)/5</f>
        <v>106.2</v>
      </c>
      <c r="F26" s="182">
        <f>SUM(F24:F25)/5</f>
        <v>106.2</v>
      </c>
      <c r="G26" s="182">
        <f>SUM(G24:G25)/10</f>
        <v>53.1</v>
      </c>
      <c r="H26" s="182">
        <f>SUM(H24:H25)/20</f>
        <v>26.55</v>
      </c>
      <c r="I26" s="182">
        <f>SUM(I24:I25)/20</f>
        <v>26.55</v>
      </c>
      <c r="J26" s="92"/>
      <c r="K26" s="34"/>
    </row>
    <row r="27" spans="2:11" s="78" customFormat="1" x14ac:dyDescent="0.2">
      <c r="B27" s="40"/>
      <c r="C27" s="94" t="s">
        <v>327</v>
      </c>
      <c r="D27" s="181">
        <f t="shared" ref="D27:I27" si="6">D23-SUM(D24:D26)</f>
        <v>382.79999999999995</v>
      </c>
      <c r="E27" s="181">
        <f t="shared" si="6"/>
        <v>382.79999999999995</v>
      </c>
      <c r="F27" s="181">
        <f t="shared" si="6"/>
        <v>382.79999999999995</v>
      </c>
      <c r="G27" s="181">
        <f t="shared" si="6"/>
        <v>435.9</v>
      </c>
      <c r="H27" s="181">
        <f t="shared" si="6"/>
        <v>462.45000000000005</v>
      </c>
      <c r="I27" s="181">
        <f t="shared" si="6"/>
        <v>462.45000000000005</v>
      </c>
      <c r="J27" s="87"/>
      <c r="K27" s="99"/>
    </row>
    <row r="28" spans="2:11" x14ac:dyDescent="0.2">
      <c r="B28" s="34"/>
      <c r="C28" s="95" t="s">
        <v>328</v>
      </c>
      <c r="D28" s="96">
        <f t="shared" ref="D28:I28" si="7">D27/D23</f>
        <v>0.37529411764705878</v>
      </c>
      <c r="E28" s="96">
        <f t="shared" si="7"/>
        <v>0.37529411764705878</v>
      </c>
      <c r="F28" s="96">
        <f t="shared" si="7"/>
        <v>0.37529411764705878</v>
      </c>
      <c r="G28" s="96">
        <f t="shared" si="7"/>
        <v>0.42735294117647055</v>
      </c>
      <c r="H28" s="96">
        <f t="shared" si="7"/>
        <v>0.45338235294117651</v>
      </c>
      <c r="I28" s="96">
        <f t="shared" si="7"/>
        <v>0.45338235294117651</v>
      </c>
      <c r="J28" s="65"/>
      <c r="K28" s="100"/>
    </row>
    <row r="29" spans="2:11" x14ac:dyDescent="0.2">
      <c r="B29" s="34"/>
      <c r="C29" s="86" t="s">
        <v>320</v>
      </c>
      <c r="D29" s="84"/>
      <c r="E29" s="84"/>
      <c r="F29" s="84"/>
      <c r="G29" s="84"/>
      <c r="H29" s="84"/>
      <c r="I29" s="84"/>
      <c r="J29" s="65"/>
      <c r="K29" s="100"/>
    </row>
    <row r="30" spans="2:11" x14ac:dyDescent="0.2">
      <c r="B30" s="34"/>
      <c r="C30" s="89" t="s">
        <v>325</v>
      </c>
      <c r="D30" s="180">
        <v>2380</v>
      </c>
      <c r="E30" s="180">
        <v>2380</v>
      </c>
      <c r="F30" s="180">
        <v>2380</v>
      </c>
      <c r="G30" s="180">
        <v>2380</v>
      </c>
      <c r="H30" s="180">
        <v>2380</v>
      </c>
      <c r="I30" s="180">
        <v>2380</v>
      </c>
      <c r="J30" s="65"/>
      <c r="K30" s="34"/>
    </row>
    <row r="31" spans="2:11" s="93" customFormat="1" x14ac:dyDescent="0.2">
      <c r="B31" s="90"/>
      <c r="C31" s="89" t="s">
        <v>321</v>
      </c>
      <c r="D31" s="181">
        <f t="shared" ref="D31:I32" si="8">IF(D$7&gt;$AT$5,$AT10,IF(D$7&gt;$AS$5,$AS10,IF(D$7&gt;$AR$5,$AR10,IF(D$7&gt;$AQ$5,$AQ10,$AP10))))</f>
        <v>101</v>
      </c>
      <c r="E31" s="181">
        <f t="shared" si="8"/>
        <v>101</v>
      </c>
      <c r="F31" s="181">
        <f t="shared" si="8"/>
        <v>101</v>
      </c>
      <c r="G31" s="181">
        <f t="shared" si="8"/>
        <v>101</v>
      </c>
      <c r="H31" s="181">
        <f t="shared" si="8"/>
        <v>101</v>
      </c>
      <c r="I31" s="181">
        <f t="shared" si="8"/>
        <v>101</v>
      </c>
      <c r="J31" s="65"/>
      <c r="K31" s="90"/>
    </row>
    <row r="32" spans="2:11" x14ac:dyDescent="0.2">
      <c r="B32" s="34"/>
      <c r="C32" s="89" t="s">
        <v>323</v>
      </c>
      <c r="D32" s="181">
        <f t="shared" si="8"/>
        <v>753</v>
      </c>
      <c r="E32" s="181">
        <f t="shared" si="8"/>
        <v>753</v>
      </c>
      <c r="F32" s="181">
        <f t="shared" si="8"/>
        <v>753</v>
      </c>
      <c r="G32" s="181">
        <f t="shared" si="8"/>
        <v>753</v>
      </c>
      <c r="H32" s="181">
        <f t="shared" si="8"/>
        <v>753</v>
      </c>
      <c r="I32" s="181">
        <f t="shared" si="8"/>
        <v>753</v>
      </c>
      <c r="J32" s="65"/>
      <c r="K32" s="34"/>
    </row>
    <row r="33" spans="2:11" x14ac:dyDescent="0.2">
      <c r="B33" s="34"/>
      <c r="C33" s="91" t="s">
        <v>326</v>
      </c>
      <c r="D33" s="182">
        <f>SUM(D31:D32)/5</f>
        <v>170.8</v>
      </c>
      <c r="E33" s="182">
        <f>SUM(E31:E32)/5</f>
        <v>170.8</v>
      </c>
      <c r="F33" s="182">
        <f>SUM(F31:F32)/5</f>
        <v>170.8</v>
      </c>
      <c r="G33" s="182">
        <f>SUM(G31:G32)/10</f>
        <v>85.4</v>
      </c>
      <c r="H33" s="182">
        <f>SUM(H31:H32)/20</f>
        <v>42.7</v>
      </c>
      <c r="I33" s="182">
        <f>SUM(I31:I32)/20</f>
        <v>42.7</v>
      </c>
      <c r="J33" s="65"/>
      <c r="K33" s="100"/>
    </row>
    <row r="34" spans="2:11" x14ac:dyDescent="0.2">
      <c r="B34" s="34"/>
      <c r="C34" s="94" t="s">
        <v>327</v>
      </c>
      <c r="D34" s="181">
        <f t="shared" ref="D34:I34" si="9">D30-SUM(D31:D33)</f>
        <v>1355.2</v>
      </c>
      <c r="E34" s="181">
        <f t="shared" si="9"/>
        <v>1355.2</v>
      </c>
      <c r="F34" s="181">
        <f t="shared" si="9"/>
        <v>1355.2</v>
      </c>
      <c r="G34" s="181">
        <f t="shared" si="9"/>
        <v>1440.6</v>
      </c>
      <c r="H34" s="181">
        <f t="shared" si="9"/>
        <v>1483.3</v>
      </c>
      <c r="I34" s="181">
        <f t="shared" si="9"/>
        <v>1483.3</v>
      </c>
      <c r="J34" s="65"/>
      <c r="K34" s="100"/>
    </row>
    <row r="35" spans="2:11" x14ac:dyDescent="0.2">
      <c r="B35" s="34"/>
      <c r="C35" s="95" t="s">
        <v>328</v>
      </c>
      <c r="D35" s="96">
        <f t="shared" ref="D35:I35" si="10">D34/D30</f>
        <v>0.56941176470588239</v>
      </c>
      <c r="E35" s="96">
        <f t="shared" si="10"/>
        <v>0.56941176470588239</v>
      </c>
      <c r="F35" s="96">
        <f t="shared" si="10"/>
        <v>0.56941176470588239</v>
      </c>
      <c r="G35" s="96">
        <f t="shared" si="10"/>
        <v>0.60529411764705876</v>
      </c>
      <c r="H35" s="96">
        <f t="shared" si="10"/>
        <v>0.623235294117647</v>
      </c>
      <c r="I35" s="96">
        <f t="shared" si="10"/>
        <v>0.623235294117647</v>
      </c>
      <c r="J35" s="65"/>
      <c r="K35" s="100"/>
    </row>
    <row r="36" spans="2:11" x14ac:dyDescent="0.2">
      <c r="B36" s="34"/>
      <c r="C36" s="86" t="s">
        <v>662</v>
      </c>
      <c r="D36" s="84"/>
      <c r="E36" s="84"/>
      <c r="F36" s="84"/>
      <c r="G36" s="84"/>
      <c r="H36" s="84"/>
      <c r="I36" s="84"/>
      <c r="J36" s="65"/>
      <c r="K36" s="100"/>
    </row>
    <row r="37" spans="2:11" x14ac:dyDescent="0.2">
      <c r="B37" s="34"/>
      <c r="C37" s="89" t="s">
        <v>325</v>
      </c>
      <c r="D37" s="180">
        <v>2950</v>
      </c>
      <c r="E37" s="180">
        <v>2950</v>
      </c>
      <c r="F37" s="180">
        <v>2950</v>
      </c>
      <c r="G37" s="180">
        <v>2950</v>
      </c>
      <c r="H37" s="180">
        <v>2950</v>
      </c>
      <c r="I37" s="180">
        <v>2950</v>
      </c>
      <c r="J37" s="65"/>
      <c r="K37" s="100"/>
    </row>
    <row r="38" spans="2:11" x14ac:dyDescent="0.2">
      <c r="B38" s="34"/>
      <c r="C38" s="89" t="s">
        <v>321</v>
      </c>
      <c r="D38" s="181">
        <f>D31*1.223</f>
        <v>123.52300000000001</v>
      </c>
      <c r="E38" s="181">
        <f t="shared" ref="E38:I38" si="11">E31*1.223</f>
        <v>123.52300000000001</v>
      </c>
      <c r="F38" s="181">
        <f t="shared" si="11"/>
        <v>123.52300000000001</v>
      </c>
      <c r="G38" s="181">
        <f t="shared" si="11"/>
        <v>123.52300000000001</v>
      </c>
      <c r="H38" s="181">
        <f t="shared" si="11"/>
        <v>123.52300000000001</v>
      </c>
      <c r="I38" s="181">
        <f t="shared" si="11"/>
        <v>123.52300000000001</v>
      </c>
      <c r="J38" s="65"/>
      <c r="K38" s="100"/>
    </row>
    <row r="39" spans="2:11" x14ac:dyDescent="0.2">
      <c r="B39" s="34"/>
      <c r="C39" s="89" t="s">
        <v>323</v>
      </c>
      <c r="D39" s="181">
        <f>D32*1.223</f>
        <v>920.9190000000001</v>
      </c>
      <c r="E39" s="181">
        <f t="shared" ref="E39:I39" si="12">E32*1.223</f>
        <v>920.9190000000001</v>
      </c>
      <c r="F39" s="181">
        <f t="shared" si="12"/>
        <v>920.9190000000001</v>
      </c>
      <c r="G39" s="181">
        <f t="shared" si="12"/>
        <v>920.9190000000001</v>
      </c>
      <c r="H39" s="181">
        <f t="shared" si="12"/>
        <v>920.9190000000001</v>
      </c>
      <c r="I39" s="181">
        <f t="shared" si="12"/>
        <v>920.9190000000001</v>
      </c>
      <c r="J39" s="65"/>
      <c r="K39" s="100"/>
    </row>
    <row r="40" spans="2:11" x14ac:dyDescent="0.2">
      <c r="B40" s="34"/>
      <c r="C40" s="91" t="s">
        <v>326</v>
      </c>
      <c r="D40" s="182">
        <f>SUM(D38:D39)/5</f>
        <v>208.88839999999999</v>
      </c>
      <c r="E40" s="182">
        <f>SUM(E38:E39)/5</f>
        <v>208.88839999999999</v>
      </c>
      <c r="F40" s="182">
        <f>SUM(F38:F39)/5</f>
        <v>208.88839999999999</v>
      </c>
      <c r="G40" s="182">
        <f>SUM(G38:G39)/10</f>
        <v>104.4442</v>
      </c>
      <c r="H40" s="182">
        <f>SUM(H38:H39)/20</f>
        <v>52.222099999999998</v>
      </c>
      <c r="I40" s="182">
        <f>SUM(I38:I39)/20</f>
        <v>52.222099999999998</v>
      </c>
      <c r="J40" s="65"/>
      <c r="K40" s="100"/>
    </row>
    <row r="41" spans="2:11" x14ac:dyDescent="0.2">
      <c r="B41" s="34"/>
      <c r="C41" s="94" t="s">
        <v>327</v>
      </c>
      <c r="D41" s="181">
        <f t="shared" ref="D41:I41" si="13">D37-SUM(D38:D40)</f>
        <v>1696.6695999999999</v>
      </c>
      <c r="E41" s="181">
        <f t="shared" si="13"/>
        <v>1696.6695999999999</v>
      </c>
      <c r="F41" s="181">
        <f t="shared" si="13"/>
        <v>1696.6695999999999</v>
      </c>
      <c r="G41" s="181">
        <f t="shared" si="13"/>
        <v>1801.1138000000001</v>
      </c>
      <c r="H41" s="181">
        <f t="shared" si="13"/>
        <v>1853.3359</v>
      </c>
      <c r="I41" s="181">
        <f t="shared" si="13"/>
        <v>1853.3359</v>
      </c>
      <c r="J41" s="65"/>
      <c r="K41" s="100"/>
    </row>
    <row r="42" spans="2:11" x14ac:dyDescent="0.2">
      <c r="B42" s="34"/>
      <c r="C42" s="95" t="s">
        <v>328</v>
      </c>
      <c r="D42" s="96">
        <f t="shared" ref="D42:I42" si="14">D41/D37</f>
        <v>0.57514223728813563</v>
      </c>
      <c r="E42" s="96">
        <f t="shared" si="14"/>
        <v>0.57514223728813563</v>
      </c>
      <c r="F42" s="96">
        <f t="shared" si="14"/>
        <v>0.57514223728813563</v>
      </c>
      <c r="G42" s="96">
        <f t="shared" si="14"/>
        <v>0.61054705084745764</v>
      </c>
      <c r="H42" s="96">
        <f t="shared" si="14"/>
        <v>0.6282494576271187</v>
      </c>
      <c r="I42" s="96">
        <f t="shared" si="14"/>
        <v>0.6282494576271187</v>
      </c>
      <c r="J42" s="65"/>
      <c r="K42" s="100"/>
    </row>
    <row r="43" spans="2:11" x14ac:dyDescent="0.2">
      <c r="B43" s="34"/>
      <c r="C43" s="86" t="s">
        <v>322</v>
      </c>
      <c r="D43" s="40"/>
      <c r="E43" s="40"/>
      <c r="F43" s="40"/>
      <c r="G43" s="40"/>
      <c r="H43" s="40"/>
      <c r="I43" s="40"/>
      <c r="J43" s="98"/>
      <c r="K43" s="34"/>
    </row>
    <row r="44" spans="2:11" x14ac:dyDescent="0.2">
      <c r="B44" s="34"/>
      <c r="C44" s="89" t="s">
        <v>325</v>
      </c>
      <c r="D44" s="180">
        <v>3570</v>
      </c>
      <c r="E44" s="180">
        <v>3570</v>
      </c>
      <c r="F44" s="180">
        <v>3570</v>
      </c>
      <c r="G44" s="180">
        <v>3570</v>
      </c>
      <c r="H44" s="180">
        <v>3570</v>
      </c>
      <c r="I44" s="180">
        <v>3570</v>
      </c>
      <c r="J44" s="77"/>
      <c r="K44" s="34"/>
    </row>
    <row r="45" spans="2:11" x14ac:dyDescent="0.2">
      <c r="B45" s="34"/>
      <c r="C45" s="89" t="s">
        <v>321</v>
      </c>
      <c r="D45" s="181">
        <v>135</v>
      </c>
      <c r="E45" s="181">
        <f t="shared" ref="E45:I46" si="15">IF(E$7&gt;$AT$5,$AT13,IF(E$7&gt;$AS$5,$AS13,IF(E$7&gt;$AR$5,$AR13,IF(E$7&gt;$AQ$5,$AQ13,$AP13))))</f>
        <v>135</v>
      </c>
      <c r="F45" s="181">
        <f t="shared" si="15"/>
        <v>135</v>
      </c>
      <c r="G45" s="181">
        <f t="shared" si="15"/>
        <v>135</v>
      </c>
      <c r="H45" s="181">
        <f t="shared" si="15"/>
        <v>135</v>
      </c>
      <c r="I45" s="181">
        <f t="shared" si="15"/>
        <v>135</v>
      </c>
      <c r="J45" s="77"/>
      <c r="K45" s="34"/>
    </row>
    <row r="46" spans="2:11" x14ac:dyDescent="0.2">
      <c r="B46" s="34"/>
      <c r="C46" s="89" t="s">
        <v>323</v>
      </c>
      <c r="D46" s="181">
        <v>821</v>
      </c>
      <c r="E46" s="181">
        <f t="shared" si="15"/>
        <v>821</v>
      </c>
      <c r="F46" s="181">
        <f t="shared" si="15"/>
        <v>821</v>
      </c>
      <c r="G46" s="181">
        <f t="shared" si="15"/>
        <v>821</v>
      </c>
      <c r="H46" s="181">
        <f t="shared" si="15"/>
        <v>821</v>
      </c>
      <c r="I46" s="181">
        <f t="shared" si="15"/>
        <v>821</v>
      </c>
      <c r="J46" s="77"/>
      <c r="K46" s="34"/>
    </row>
    <row r="47" spans="2:11" x14ac:dyDescent="0.2">
      <c r="B47" s="34"/>
      <c r="C47" s="91" t="s">
        <v>326</v>
      </c>
      <c r="D47" s="182">
        <f>SUM(D45:D46)/5</f>
        <v>191.2</v>
      </c>
      <c r="E47" s="182">
        <f>SUM(E45:E46)/5</f>
        <v>191.2</v>
      </c>
      <c r="F47" s="182">
        <f>SUM(F45:F46)/5</f>
        <v>191.2</v>
      </c>
      <c r="G47" s="182">
        <f>SUM(G45:G46)/10</f>
        <v>95.6</v>
      </c>
      <c r="H47" s="182">
        <f>SUM(H45:H46)/20</f>
        <v>47.8</v>
      </c>
      <c r="I47" s="182">
        <f>SUM(I45:I46)/20</f>
        <v>47.8</v>
      </c>
      <c r="J47" s="92"/>
      <c r="K47" s="34"/>
    </row>
    <row r="48" spans="2:11" x14ac:dyDescent="0.2">
      <c r="B48" s="34"/>
      <c r="C48" s="94" t="s">
        <v>327</v>
      </c>
      <c r="D48" s="181">
        <f t="shared" ref="D48:E48" si="16">D44-SUM(D45:D47)</f>
        <v>2422.8000000000002</v>
      </c>
      <c r="E48" s="181">
        <f t="shared" si="16"/>
        <v>2422.8000000000002</v>
      </c>
      <c r="F48" s="181">
        <f>F44-SUM(F45:F47)</f>
        <v>2422.8000000000002</v>
      </c>
      <c r="G48" s="181">
        <f>G44-SUM(G45:G47)</f>
        <v>2518.4</v>
      </c>
      <c r="H48" s="181">
        <f>H44-SUM(H45:H47)</f>
        <v>2566.1999999999998</v>
      </c>
      <c r="I48" s="181">
        <f>I44-SUM(I45:I47)</f>
        <v>2566.1999999999998</v>
      </c>
      <c r="J48" s="87"/>
      <c r="K48" s="34"/>
    </row>
    <row r="49" spans="2:39" x14ac:dyDescent="0.2">
      <c r="B49" s="34"/>
      <c r="C49" s="101" t="s">
        <v>328</v>
      </c>
      <c r="D49" s="102">
        <f t="shared" ref="D49:E49" si="17">D48/D44</f>
        <v>0.67865546218487405</v>
      </c>
      <c r="E49" s="102">
        <f t="shared" si="17"/>
        <v>0.67865546218487405</v>
      </c>
      <c r="F49" s="102">
        <f>F48/F44</f>
        <v>0.67865546218487405</v>
      </c>
      <c r="G49" s="102">
        <f>G48/G44</f>
        <v>0.70543417366946781</v>
      </c>
      <c r="H49" s="102">
        <f>H48/H44</f>
        <v>0.71882352941176464</v>
      </c>
      <c r="I49" s="102">
        <f>I48/I44</f>
        <v>0.71882352941176464</v>
      </c>
      <c r="J49" s="103"/>
      <c r="K49" s="34"/>
    </row>
    <row r="50" spans="2:39" x14ac:dyDescent="0.2">
      <c r="B50" s="34"/>
      <c r="C50" s="34"/>
      <c r="D50" s="34"/>
      <c r="E50" s="34"/>
      <c r="F50" s="34"/>
      <c r="G50" s="34"/>
      <c r="H50" s="34"/>
      <c r="I50" s="34"/>
      <c r="J50" s="34"/>
      <c r="K50" s="34"/>
    </row>
    <row r="51" spans="2:39" x14ac:dyDescent="0.2">
      <c r="B51" s="34"/>
      <c r="C51" s="69" t="s">
        <v>329</v>
      </c>
      <c r="D51" s="70"/>
      <c r="E51" s="70"/>
      <c r="F51" s="70"/>
      <c r="G51" s="70"/>
      <c r="H51" s="70"/>
      <c r="I51" s="70"/>
      <c r="J51" s="85"/>
      <c r="K51" s="34"/>
    </row>
    <row r="52" spans="2:39" x14ac:dyDescent="0.2">
      <c r="B52" s="34"/>
      <c r="C52" s="72"/>
      <c r="D52" s="73">
        <v>0</v>
      </c>
      <c r="E52" s="73">
        <f>D52+1</f>
        <v>1</v>
      </c>
      <c r="F52" s="73">
        <f>E52+1</f>
        <v>2</v>
      </c>
      <c r="G52" s="73">
        <f>F52+1</f>
        <v>3</v>
      </c>
      <c r="H52" s="73">
        <f>G52+1</f>
        <v>4</v>
      </c>
      <c r="I52" s="73">
        <f>H52+1</f>
        <v>5</v>
      </c>
      <c r="J52" s="74" t="s">
        <v>318</v>
      </c>
      <c r="K52" s="34"/>
    </row>
    <row r="53" spans="2:39" x14ac:dyDescent="0.2">
      <c r="B53" s="34"/>
      <c r="C53" s="89" t="s">
        <v>663</v>
      </c>
      <c r="D53" s="183">
        <f>D6*D16</f>
        <v>0</v>
      </c>
      <c r="E53" s="183">
        <f t="shared" ref="E53:I53" si="18">E6*E16</f>
        <v>0</v>
      </c>
      <c r="F53" s="183">
        <f t="shared" si="18"/>
        <v>0</v>
      </c>
      <c r="G53" s="183">
        <f t="shared" si="18"/>
        <v>0</v>
      </c>
      <c r="H53" s="183">
        <f t="shared" si="18"/>
        <v>0</v>
      </c>
      <c r="I53" s="183">
        <f t="shared" si="18"/>
        <v>0</v>
      </c>
      <c r="J53" s="184">
        <f t="shared" ref="J53:J64" si="19">SUM(D53:I53)</f>
        <v>0</v>
      </c>
      <c r="K53" s="34"/>
    </row>
    <row r="54" spans="2:39" s="78" customFormat="1" x14ac:dyDescent="0.2">
      <c r="B54" s="34"/>
      <c r="C54" s="89" t="s">
        <v>330</v>
      </c>
      <c r="D54" s="183">
        <f t="shared" ref="D54:I54" si="20">D7*D23</f>
        <v>0</v>
      </c>
      <c r="E54" s="183">
        <f t="shared" si="20"/>
        <v>0</v>
      </c>
      <c r="F54" s="183">
        <f t="shared" si="20"/>
        <v>0</v>
      </c>
      <c r="G54" s="183">
        <f t="shared" si="20"/>
        <v>0</v>
      </c>
      <c r="H54" s="183">
        <f t="shared" si="20"/>
        <v>0</v>
      </c>
      <c r="I54" s="183">
        <f t="shared" si="20"/>
        <v>0</v>
      </c>
      <c r="J54" s="184">
        <f t="shared" si="19"/>
        <v>0</v>
      </c>
      <c r="K54" s="34"/>
    </row>
    <row r="55" spans="2:39" s="78" customFormat="1" x14ac:dyDescent="0.2">
      <c r="B55" s="34"/>
      <c r="C55" s="89" t="s">
        <v>331</v>
      </c>
      <c r="D55" s="183">
        <f t="shared" ref="D55:I55" si="21">D8*D30</f>
        <v>476000</v>
      </c>
      <c r="E55" s="183">
        <f t="shared" si="21"/>
        <v>3570000</v>
      </c>
      <c r="F55" s="183">
        <f t="shared" si="21"/>
        <v>11900000</v>
      </c>
      <c r="G55" s="183">
        <f t="shared" si="21"/>
        <v>35700000</v>
      </c>
      <c r="H55" s="183">
        <f t="shared" si="21"/>
        <v>71400000</v>
      </c>
      <c r="I55" s="183">
        <f t="shared" si="21"/>
        <v>107100000</v>
      </c>
      <c r="J55" s="184">
        <f t="shared" si="19"/>
        <v>230146000</v>
      </c>
      <c r="K55" s="34"/>
    </row>
    <row r="56" spans="2:39" x14ac:dyDescent="0.2">
      <c r="B56" s="34"/>
      <c r="C56" s="89" t="s">
        <v>664</v>
      </c>
      <c r="D56" s="183">
        <f>D9*D37</f>
        <v>0</v>
      </c>
      <c r="E56" s="183">
        <f t="shared" ref="E56:I56" si="22">E9*E37</f>
        <v>0</v>
      </c>
      <c r="F56" s="183">
        <f t="shared" si="22"/>
        <v>0</v>
      </c>
      <c r="G56" s="183">
        <f t="shared" si="22"/>
        <v>0</v>
      </c>
      <c r="H56" s="183">
        <f t="shared" si="22"/>
        <v>0</v>
      </c>
      <c r="I56" s="183">
        <f t="shared" si="22"/>
        <v>0</v>
      </c>
      <c r="J56" s="186">
        <f t="shared" si="19"/>
        <v>0</v>
      </c>
      <c r="K56" s="34"/>
    </row>
    <row r="57" spans="2:39" x14ac:dyDescent="0.2">
      <c r="B57" s="34"/>
      <c r="C57" s="89" t="s">
        <v>332</v>
      </c>
      <c r="D57" s="185">
        <f t="shared" ref="D57:I57" si="23">D10*D44</f>
        <v>0</v>
      </c>
      <c r="E57" s="185">
        <f t="shared" si="23"/>
        <v>0</v>
      </c>
      <c r="F57" s="185">
        <f t="shared" si="23"/>
        <v>0</v>
      </c>
      <c r="G57" s="185">
        <f t="shared" si="23"/>
        <v>0</v>
      </c>
      <c r="H57" s="185">
        <f t="shared" si="23"/>
        <v>0</v>
      </c>
      <c r="I57" s="185">
        <f t="shared" si="23"/>
        <v>0</v>
      </c>
      <c r="J57" s="186">
        <f t="shared" si="19"/>
        <v>0</v>
      </c>
      <c r="K57" s="34"/>
    </row>
    <row r="58" spans="2:39" x14ac:dyDescent="0.2">
      <c r="B58" s="34"/>
      <c r="C58" s="106" t="s">
        <v>333</v>
      </c>
      <c r="D58" s="187">
        <f t="shared" ref="D58:I58" si="24">D54+D55+D57</f>
        <v>476000</v>
      </c>
      <c r="E58" s="187">
        <f t="shared" si="24"/>
        <v>3570000</v>
      </c>
      <c r="F58" s="187">
        <f t="shared" si="24"/>
        <v>11900000</v>
      </c>
      <c r="G58" s="187">
        <f t="shared" si="24"/>
        <v>35700000</v>
      </c>
      <c r="H58" s="187">
        <f t="shared" si="24"/>
        <v>71400000</v>
      </c>
      <c r="I58" s="187">
        <f t="shared" si="24"/>
        <v>107100000</v>
      </c>
      <c r="J58" s="188">
        <f t="shared" si="19"/>
        <v>230146000</v>
      </c>
      <c r="K58" s="34"/>
    </row>
    <row r="59" spans="2:39" x14ac:dyDescent="0.2">
      <c r="B59" s="34"/>
      <c r="C59" s="89" t="s">
        <v>665</v>
      </c>
      <c r="D59" s="183">
        <f>D6*SUM(D17:D19)</f>
        <v>0</v>
      </c>
      <c r="E59" s="183">
        <f t="shared" ref="E59:I59" si="25">E6*SUM(E17:E19)</f>
        <v>0</v>
      </c>
      <c r="F59" s="183">
        <f t="shared" si="25"/>
        <v>0</v>
      </c>
      <c r="G59" s="183">
        <f t="shared" si="25"/>
        <v>0</v>
      </c>
      <c r="H59" s="183">
        <f t="shared" si="25"/>
        <v>0</v>
      </c>
      <c r="I59" s="183">
        <f t="shared" si="25"/>
        <v>0</v>
      </c>
      <c r="J59" s="184">
        <f t="shared" si="19"/>
        <v>0</v>
      </c>
      <c r="K59" s="34"/>
    </row>
    <row r="60" spans="2:39" x14ac:dyDescent="0.2">
      <c r="B60" s="34"/>
      <c r="C60" s="89" t="s">
        <v>666</v>
      </c>
      <c r="D60" s="183">
        <f t="shared" ref="D60:I60" si="26">D7*SUM(D24:D26)</f>
        <v>0</v>
      </c>
      <c r="E60" s="183">
        <f t="shared" si="26"/>
        <v>0</v>
      </c>
      <c r="F60" s="183">
        <f t="shared" si="26"/>
        <v>0</v>
      </c>
      <c r="G60" s="183">
        <f t="shared" si="26"/>
        <v>0</v>
      </c>
      <c r="H60" s="183">
        <f t="shared" si="26"/>
        <v>0</v>
      </c>
      <c r="I60" s="183">
        <f t="shared" si="26"/>
        <v>0</v>
      </c>
      <c r="J60" s="184">
        <f t="shared" si="19"/>
        <v>0</v>
      </c>
      <c r="K60" s="34"/>
    </row>
    <row r="61" spans="2:39" s="93" customFormat="1" x14ac:dyDescent="0.2">
      <c r="B61" s="34"/>
      <c r="C61" s="89" t="s">
        <v>334</v>
      </c>
      <c r="D61" s="183">
        <f t="shared" ref="D61:I61" si="27">D8*SUM(D31:D33)</f>
        <v>204960</v>
      </c>
      <c r="E61" s="183">
        <f t="shared" si="27"/>
        <v>1537200</v>
      </c>
      <c r="F61" s="183">
        <f t="shared" si="27"/>
        <v>5124000</v>
      </c>
      <c r="G61" s="183">
        <f t="shared" si="27"/>
        <v>14091000</v>
      </c>
      <c r="H61" s="183">
        <f t="shared" si="27"/>
        <v>26901000</v>
      </c>
      <c r="I61" s="183">
        <f t="shared" si="27"/>
        <v>40351500</v>
      </c>
      <c r="J61" s="184">
        <f t="shared" si="19"/>
        <v>88209660</v>
      </c>
      <c r="K61" s="34"/>
    </row>
    <row r="62" spans="2:39" x14ac:dyDescent="0.2">
      <c r="B62" s="34"/>
      <c r="C62" s="89" t="s">
        <v>667</v>
      </c>
      <c r="D62" s="183">
        <f>D9*SUM(D38:D40)</f>
        <v>0</v>
      </c>
      <c r="E62" s="183">
        <f t="shared" ref="E62:I62" si="28">E9*SUM(E38:E40)</f>
        <v>0</v>
      </c>
      <c r="F62" s="183">
        <f t="shared" si="28"/>
        <v>0</v>
      </c>
      <c r="G62" s="183">
        <f t="shared" si="28"/>
        <v>0</v>
      </c>
      <c r="H62" s="183">
        <f t="shared" si="28"/>
        <v>0</v>
      </c>
      <c r="I62" s="183">
        <f t="shared" si="28"/>
        <v>0</v>
      </c>
      <c r="J62" s="184">
        <f t="shared" si="19"/>
        <v>0</v>
      </c>
      <c r="K62" s="34"/>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row>
    <row r="63" spans="2:39" x14ac:dyDescent="0.2">
      <c r="B63" s="34"/>
      <c r="C63" s="89" t="s">
        <v>335</v>
      </c>
      <c r="D63" s="185">
        <f t="shared" ref="D63:I63" si="29">D10*SUM(D45:D47)</f>
        <v>0</v>
      </c>
      <c r="E63" s="185">
        <f t="shared" si="29"/>
        <v>0</v>
      </c>
      <c r="F63" s="185">
        <f t="shared" si="29"/>
        <v>0</v>
      </c>
      <c r="G63" s="185">
        <f t="shared" si="29"/>
        <v>0</v>
      </c>
      <c r="H63" s="185">
        <f t="shared" si="29"/>
        <v>0</v>
      </c>
      <c r="I63" s="185">
        <f t="shared" si="29"/>
        <v>0</v>
      </c>
      <c r="J63" s="186">
        <f t="shared" si="19"/>
        <v>0</v>
      </c>
      <c r="K63" s="34"/>
    </row>
    <row r="64" spans="2:39" x14ac:dyDescent="0.2">
      <c r="B64" s="34"/>
      <c r="C64" s="106" t="s">
        <v>336</v>
      </c>
      <c r="D64" s="187">
        <f t="shared" ref="D64:I64" si="30">SUM(D60:D63)</f>
        <v>204960</v>
      </c>
      <c r="E64" s="187">
        <f t="shared" si="30"/>
        <v>1537200</v>
      </c>
      <c r="F64" s="187">
        <f t="shared" si="30"/>
        <v>5124000</v>
      </c>
      <c r="G64" s="187">
        <f t="shared" si="30"/>
        <v>14091000</v>
      </c>
      <c r="H64" s="187">
        <f t="shared" si="30"/>
        <v>26901000</v>
      </c>
      <c r="I64" s="187">
        <f t="shared" si="30"/>
        <v>40351500</v>
      </c>
      <c r="J64" s="188">
        <f t="shared" si="19"/>
        <v>88209660</v>
      </c>
      <c r="K64" s="34"/>
    </row>
    <row r="65" spans="2:39" x14ac:dyDescent="0.2">
      <c r="B65" s="34"/>
      <c r="C65" s="91" t="s">
        <v>337</v>
      </c>
      <c r="D65" s="109">
        <f t="shared" ref="D65:J65" si="31">D64/D58</f>
        <v>0.43058823529411766</v>
      </c>
      <c r="E65" s="109">
        <f t="shared" si="31"/>
        <v>0.43058823529411766</v>
      </c>
      <c r="F65" s="109">
        <f t="shared" si="31"/>
        <v>0.43058823529411766</v>
      </c>
      <c r="G65" s="109">
        <f t="shared" si="31"/>
        <v>0.39470588235294118</v>
      </c>
      <c r="H65" s="109">
        <f t="shared" si="31"/>
        <v>0.37676470588235295</v>
      </c>
      <c r="I65" s="109">
        <f t="shared" si="31"/>
        <v>0.37676470588235295</v>
      </c>
      <c r="J65" s="110">
        <f t="shared" si="31"/>
        <v>0.38327696331893668</v>
      </c>
      <c r="K65" s="40"/>
    </row>
    <row r="66" spans="2:39" x14ac:dyDescent="0.2">
      <c r="B66" s="34"/>
      <c r="C66" s="106" t="s">
        <v>338</v>
      </c>
      <c r="D66" s="107">
        <f t="shared" ref="D66:I66" si="32">D58-D64</f>
        <v>271040</v>
      </c>
      <c r="E66" s="107">
        <f t="shared" si="32"/>
        <v>2032800</v>
      </c>
      <c r="F66" s="107">
        <f t="shared" si="32"/>
        <v>6776000</v>
      </c>
      <c r="G66" s="107">
        <f t="shared" si="32"/>
        <v>21609000</v>
      </c>
      <c r="H66" s="107">
        <f t="shared" si="32"/>
        <v>44499000</v>
      </c>
      <c r="I66" s="107">
        <f t="shared" si="32"/>
        <v>66748500</v>
      </c>
      <c r="J66" s="108">
        <f>SUM(D66:I66)</f>
        <v>141936340</v>
      </c>
      <c r="K66" s="40"/>
    </row>
    <row r="67" spans="2:39" x14ac:dyDescent="0.2">
      <c r="B67" s="34"/>
      <c r="C67" s="91" t="s">
        <v>339</v>
      </c>
      <c r="D67" s="111">
        <f t="shared" ref="D67:J67" si="33">D66/D58</f>
        <v>0.56941176470588239</v>
      </c>
      <c r="E67" s="111">
        <f t="shared" si="33"/>
        <v>0.56941176470588239</v>
      </c>
      <c r="F67" s="111">
        <f t="shared" si="33"/>
        <v>0.56941176470588239</v>
      </c>
      <c r="G67" s="111">
        <f t="shared" si="33"/>
        <v>0.60529411764705887</v>
      </c>
      <c r="H67" s="111">
        <f t="shared" si="33"/>
        <v>0.62323529411764711</v>
      </c>
      <c r="I67" s="111">
        <f t="shared" si="33"/>
        <v>0.62323529411764711</v>
      </c>
      <c r="J67" s="112">
        <f t="shared" si="33"/>
        <v>0.61672303668106332</v>
      </c>
      <c r="K67" s="40"/>
    </row>
    <row r="68" spans="2:39" x14ac:dyDescent="0.2">
      <c r="B68" s="34"/>
      <c r="C68" s="113">
        <v>5</v>
      </c>
      <c r="D68" s="104">
        <f>0.05*$D$58</f>
        <v>23800</v>
      </c>
      <c r="E68" s="104">
        <f t="shared" ref="E68:I71" si="34">$C68*E$58/100</f>
        <v>178500</v>
      </c>
      <c r="F68" s="104">
        <f t="shared" si="34"/>
        <v>595000</v>
      </c>
      <c r="G68" s="104">
        <f t="shared" si="34"/>
        <v>1785000</v>
      </c>
      <c r="H68" s="104">
        <f t="shared" si="34"/>
        <v>3570000</v>
      </c>
      <c r="I68" s="104">
        <f t="shared" si="34"/>
        <v>5355000</v>
      </c>
      <c r="J68" s="77"/>
      <c r="K68" s="40"/>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row>
    <row r="69" spans="2:39" x14ac:dyDescent="0.2">
      <c r="B69" s="34"/>
      <c r="C69" s="114">
        <v>5</v>
      </c>
      <c r="D69" s="104">
        <f t="shared" ref="D69" si="35">0.05*$D$58</f>
        <v>23800</v>
      </c>
      <c r="E69" s="115">
        <f t="shared" si="34"/>
        <v>178500</v>
      </c>
      <c r="F69" s="104">
        <f t="shared" si="34"/>
        <v>595000</v>
      </c>
      <c r="G69" s="104">
        <f t="shared" si="34"/>
        <v>1785000</v>
      </c>
      <c r="H69" s="104">
        <f t="shared" si="34"/>
        <v>3570000</v>
      </c>
      <c r="I69" s="104">
        <f t="shared" si="34"/>
        <v>5355000</v>
      </c>
      <c r="J69" s="77"/>
      <c r="K69" s="40"/>
    </row>
    <row r="70" spans="2:39" x14ac:dyDescent="0.2">
      <c r="B70" s="34"/>
      <c r="C70" s="116">
        <v>4</v>
      </c>
      <c r="D70" s="104">
        <f>0.04*$D$58</f>
        <v>19040</v>
      </c>
      <c r="E70" s="104">
        <f t="shared" si="34"/>
        <v>142800</v>
      </c>
      <c r="F70" s="104">
        <f t="shared" si="34"/>
        <v>476000</v>
      </c>
      <c r="G70" s="104">
        <f t="shared" si="34"/>
        <v>1428000</v>
      </c>
      <c r="H70" s="104">
        <f t="shared" si="34"/>
        <v>2856000</v>
      </c>
      <c r="I70" s="104">
        <f t="shared" si="34"/>
        <v>4284000</v>
      </c>
      <c r="J70" s="77"/>
      <c r="K70" s="40"/>
    </row>
    <row r="71" spans="2:39" x14ac:dyDescent="0.2">
      <c r="B71" s="34"/>
      <c r="C71" s="117">
        <v>10</v>
      </c>
      <c r="D71" s="104">
        <f>0.1*$D$58</f>
        <v>47600</v>
      </c>
      <c r="E71" s="104">
        <f t="shared" si="34"/>
        <v>357000</v>
      </c>
      <c r="F71" s="104">
        <f t="shared" si="34"/>
        <v>1190000</v>
      </c>
      <c r="G71" s="104">
        <f t="shared" si="34"/>
        <v>3570000</v>
      </c>
      <c r="H71" s="104">
        <f t="shared" si="34"/>
        <v>7140000</v>
      </c>
      <c r="I71" s="104">
        <f t="shared" si="34"/>
        <v>10710000</v>
      </c>
      <c r="J71" s="77"/>
      <c r="K71" s="40"/>
    </row>
    <row r="72" spans="2:39" x14ac:dyDescent="0.2">
      <c r="B72" s="34"/>
      <c r="C72" s="89" t="s">
        <v>340</v>
      </c>
      <c r="D72" s="115">
        <v>219286</v>
      </c>
      <c r="E72" s="115">
        <v>955000</v>
      </c>
      <c r="F72" s="115">
        <v>1297857</v>
      </c>
      <c r="G72" s="115">
        <v>1719286</v>
      </c>
      <c r="H72" s="115">
        <v>2219286</v>
      </c>
      <c r="I72" s="115">
        <v>2791554</v>
      </c>
      <c r="J72" s="77"/>
      <c r="K72" s="40"/>
    </row>
    <row r="73" spans="2:39" x14ac:dyDescent="0.2">
      <c r="B73" s="34"/>
      <c r="C73" s="89" t="s">
        <v>341</v>
      </c>
      <c r="D73" s="80">
        <v>180000</v>
      </c>
      <c r="E73" s="80">
        <v>180000</v>
      </c>
      <c r="F73" s="80">
        <v>180000</v>
      </c>
      <c r="G73" s="80">
        <v>180000</v>
      </c>
      <c r="H73" s="80">
        <v>180000</v>
      </c>
      <c r="I73" s="80">
        <v>180000</v>
      </c>
      <c r="J73" s="81"/>
      <c r="K73" s="40"/>
    </row>
    <row r="74" spans="2:39" x14ac:dyDescent="0.2">
      <c r="B74" s="40"/>
      <c r="C74" s="76" t="s">
        <v>342</v>
      </c>
      <c r="D74" s="118">
        <f t="shared" ref="D74:I74" si="36">SUM(D68:D73)</f>
        <v>513526</v>
      </c>
      <c r="E74" s="118">
        <f t="shared" si="36"/>
        <v>1991800</v>
      </c>
      <c r="F74" s="118">
        <f t="shared" si="36"/>
        <v>4333857</v>
      </c>
      <c r="G74" s="118">
        <f t="shared" si="36"/>
        <v>10467286</v>
      </c>
      <c r="H74" s="118">
        <f t="shared" si="36"/>
        <v>19535286</v>
      </c>
      <c r="I74" s="118">
        <f t="shared" si="36"/>
        <v>28675554</v>
      </c>
      <c r="J74" s="119">
        <f>SUM(D74:I74)</f>
        <v>65517309</v>
      </c>
      <c r="K74" s="40"/>
    </row>
    <row r="75" spans="2:39" x14ac:dyDescent="0.2">
      <c r="B75" s="40"/>
      <c r="C75" s="106" t="s">
        <v>306</v>
      </c>
      <c r="D75" s="107">
        <f t="shared" ref="D75:I75" si="37">D66-D74</f>
        <v>-242486</v>
      </c>
      <c r="E75" s="107">
        <f t="shared" si="37"/>
        <v>41000</v>
      </c>
      <c r="F75" s="107">
        <f t="shared" si="37"/>
        <v>2442143</v>
      </c>
      <c r="G75" s="107">
        <f t="shared" si="37"/>
        <v>11141714</v>
      </c>
      <c r="H75" s="107">
        <f t="shared" si="37"/>
        <v>24963714</v>
      </c>
      <c r="I75" s="107">
        <f t="shared" si="37"/>
        <v>38072946</v>
      </c>
      <c r="J75" s="108">
        <f>SUM(D75:I75)</f>
        <v>76419031</v>
      </c>
      <c r="K75" s="40"/>
    </row>
    <row r="76" spans="2:39" x14ac:dyDescent="0.2">
      <c r="B76" s="34"/>
      <c r="C76" s="91" t="s">
        <v>343</v>
      </c>
      <c r="D76" s="111">
        <f t="shared" ref="D76:J76" si="38">D75/D58</f>
        <v>-0.50942436974789918</v>
      </c>
      <c r="E76" s="111">
        <f t="shared" si="38"/>
        <v>1.1484593837535015E-2</v>
      </c>
      <c r="F76" s="111">
        <f t="shared" si="38"/>
        <v>0.20522210084033612</v>
      </c>
      <c r="G76" s="111">
        <f t="shared" si="38"/>
        <v>0.31209282913165265</v>
      </c>
      <c r="H76" s="111">
        <f t="shared" si="38"/>
        <v>0.34963184873949582</v>
      </c>
      <c r="I76" s="111">
        <f t="shared" si="38"/>
        <v>0.35548969187675072</v>
      </c>
      <c r="J76" s="112">
        <f t="shared" si="38"/>
        <v>0.33204587957209769</v>
      </c>
      <c r="K76" s="34"/>
    </row>
    <row r="77" spans="2:39" x14ac:dyDescent="0.2">
      <c r="B77" s="34"/>
      <c r="C77" s="76" t="s">
        <v>344</v>
      </c>
      <c r="D77" s="105">
        <v>0</v>
      </c>
      <c r="E77" s="105">
        <v>0</v>
      </c>
      <c r="F77" s="105"/>
      <c r="G77" s="80"/>
      <c r="H77" s="105">
        <v>0</v>
      </c>
      <c r="I77" s="105">
        <v>0</v>
      </c>
      <c r="J77" s="81"/>
      <c r="K77" s="34"/>
    </row>
    <row r="78" spans="2:39" x14ac:dyDescent="0.2">
      <c r="B78" s="34"/>
      <c r="C78" s="76" t="s">
        <v>345</v>
      </c>
      <c r="D78" s="104">
        <v>0</v>
      </c>
      <c r="E78" s="104">
        <f>E75-E77</f>
        <v>41000</v>
      </c>
      <c r="F78" s="104">
        <f>F75-F77</f>
        <v>2442143</v>
      </c>
      <c r="G78" s="104">
        <f>G75-G77</f>
        <v>11141714</v>
      </c>
      <c r="H78" s="104">
        <f>H75-H77</f>
        <v>24963714</v>
      </c>
      <c r="I78" s="104">
        <f>I75-I77</f>
        <v>38072946</v>
      </c>
      <c r="J78" s="77">
        <f>SUM(D78:I78)</f>
        <v>76661517</v>
      </c>
      <c r="K78" s="34"/>
    </row>
    <row r="79" spans="2:39" x14ac:dyDescent="0.2">
      <c r="B79" s="34"/>
      <c r="C79" s="120">
        <v>21</v>
      </c>
      <c r="D79" s="105">
        <f t="shared" ref="D79:I79" si="39">$C79*D78/100</f>
        <v>0</v>
      </c>
      <c r="E79" s="105">
        <f t="shared" si="39"/>
        <v>8610</v>
      </c>
      <c r="F79" s="105">
        <f t="shared" si="39"/>
        <v>512850.03</v>
      </c>
      <c r="G79" s="105">
        <f t="shared" si="39"/>
        <v>2339759.94</v>
      </c>
      <c r="H79" s="105">
        <f t="shared" si="39"/>
        <v>5242379.9400000004</v>
      </c>
      <c r="I79" s="105">
        <f t="shared" si="39"/>
        <v>7995318.6600000001</v>
      </c>
      <c r="J79" s="81">
        <f>SUM(D79:I79)</f>
        <v>16098918.57</v>
      </c>
      <c r="K79" s="34"/>
    </row>
    <row r="80" spans="2:39" ht="13.5" thickBot="1" x14ac:dyDescent="0.25">
      <c r="B80" s="34"/>
      <c r="C80" s="106" t="s">
        <v>346</v>
      </c>
      <c r="D80" s="121">
        <f t="shared" ref="D80:I80" si="40">D75-D79</f>
        <v>-242486</v>
      </c>
      <c r="E80" s="121">
        <f t="shared" si="40"/>
        <v>32390</v>
      </c>
      <c r="F80" s="121">
        <f t="shared" si="40"/>
        <v>1929292.97</v>
      </c>
      <c r="G80" s="121">
        <f t="shared" si="40"/>
        <v>8801954.0600000005</v>
      </c>
      <c r="H80" s="121">
        <f t="shared" si="40"/>
        <v>19721334.059999999</v>
      </c>
      <c r="I80" s="121">
        <f t="shared" si="40"/>
        <v>30077627.34</v>
      </c>
      <c r="J80" s="122">
        <f>SUM(D80:I80)</f>
        <v>60320112.43</v>
      </c>
      <c r="K80" s="34"/>
    </row>
    <row r="81" spans="2:11" ht="13.5" thickTop="1" x14ac:dyDescent="0.2">
      <c r="B81" s="90"/>
      <c r="C81" s="123" t="s">
        <v>347</v>
      </c>
      <c r="D81" s="109">
        <f t="shared" ref="D81:J81" si="41">D80/D58</f>
        <v>-0.50942436974789918</v>
      </c>
      <c r="E81" s="109">
        <f t="shared" si="41"/>
        <v>9.0728291316526603E-3</v>
      </c>
      <c r="F81" s="109">
        <f t="shared" si="41"/>
        <v>0.16212545966386555</v>
      </c>
      <c r="G81" s="109">
        <f t="shared" si="41"/>
        <v>0.24655333501400561</v>
      </c>
      <c r="H81" s="109">
        <f t="shared" si="41"/>
        <v>0.27620916050420169</v>
      </c>
      <c r="I81" s="109">
        <f t="shared" si="41"/>
        <v>0.28083685658263308</v>
      </c>
      <c r="J81" s="110">
        <f t="shared" si="41"/>
        <v>0.26209498505296636</v>
      </c>
      <c r="K81" s="90"/>
    </row>
    <row r="82" spans="2:11" x14ac:dyDescent="0.2">
      <c r="B82" s="34"/>
      <c r="C82" s="124"/>
      <c r="D82" s="34"/>
      <c r="E82" s="34"/>
      <c r="F82" s="34"/>
      <c r="G82" s="34"/>
      <c r="H82" s="34"/>
      <c r="I82" s="34"/>
      <c r="J82" s="34"/>
      <c r="K82" s="34"/>
    </row>
    <row r="92" spans="2:11" x14ac:dyDescent="0.2">
      <c r="K92" s="127"/>
    </row>
    <row r="93" spans="2:11" x14ac:dyDescent="0.2">
      <c r="K93" s="127"/>
    </row>
    <row r="94" spans="2:11" x14ac:dyDescent="0.2">
      <c r="K94" s="128"/>
    </row>
    <row r="95" spans="2:11" x14ac:dyDescent="0.2">
      <c r="K95" s="128"/>
    </row>
  </sheetData>
  <sheetProtection algorithmName="SHA-512" hashValue="C+a9ePqLfrM+4J+uN+phthg4RdqWYaPdct1NJYnfCCD1OpPEnW0v4uzwnrYl4PzX/k78FrB0l3T9cUjkAq+6Aw==" saltValue="8uw5AbqUr0p68BGIH7v5aw==" spinCount="100000" sheet="1" objects="1" scenarios="1" selectLockedCells="1"/>
  <pageMargins left="0.25" right="0.25" top="0.25" bottom="0.25" header="0" footer="0"/>
  <pageSetup scale="65" orientation="landscape" horizontalDpi="1200" verticalDpi="1200" r:id="rId1"/>
  <ignoredErrors>
    <ignoredError sqref="D47" formulaRange="1"/>
    <ignoredError sqref="J65" formula="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BD737-209C-46C5-9653-773FF52D051D}">
  <sheetPr>
    <pageSetUpPr fitToPage="1"/>
  </sheetPr>
  <dimension ref="A1:AR295"/>
  <sheetViews>
    <sheetView workbookViewId="0">
      <selection activeCell="D2" sqref="D2"/>
    </sheetView>
  </sheetViews>
  <sheetFormatPr defaultRowHeight="15" x14ac:dyDescent="0.25"/>
  <cols>
    <col min="1" max="1" width="9.140625" style="2"/>
    <col min="2" max="2" width="36" style="2" bestFit="1" customWidth="1"/>
    <col min="3" max="3" width="10.85546875" bestFit="1" customWidth="1"/>
    <col min="4" max="4" width="11.85546875" bestFit="1" customWidth="1"/>
    <col min="5" max="44" width="9.140625" style="2"/>
  </cols>
  <sheetData>
    <row r="1" spans="2:7" x14ac:dyDescent="0.25">
      <c r="C1" s="2"/>
      <c r="D1" s="2"/>
    </row>
    <row r="2" spans="2:7" x14ac:dyDescent="0.25">
      <c r="B2" s="14" t="s">
        <v>0</v>
      </c>
      <c r="C2" s="2"/>
      <c r="D2" s="9">
        <v>75000</v>
      </c>
      <c r="G2" s="2" t="s">
        <v>1</v>
      </c>
    </row>
    <row r="3" spans="2:7" x14ac:dyDescent="0.25">
      <c r="B3" s="14" t="s">
        <v>2</v>
      </c>
      <c r="C3" s="10">
        <v>2080</v>
      </c>
      <c r="D3" s="2"/>
      <c r="G3" s="2" t="s">
        <v>3</v>
      </c>
    </row>
    <row r="4" spans="2:7" x14ac:dyDescent="0.25">
      <c r="B4" s="14" t="s">
        <v>4</v>
      </c>
      <c r="C4" s="2"/>
      <c r="D4" s="21">
        <f>D2/C3</f>
        <v>36.057692307692307</v>
      </c>
      <c r="G4" s="2" t="s">
        <v>5</v>
      </c>
    </row>
    <row r="5" spans="2:7" x14ac:dyDescent="0.25">
      <c r="C5" s="2"/>
      <c r="D5" s="20"/>
      <c r="G5" s="2" t="s">
        <v>6</v>
      </c>
    </row>
    <row r="6" spans="2:7" x14ac:dyDescent="0.25">
      <c r="B6" s="14" t="s">
        <v>7</v>
      </c>
      <c r="C6" s="2"/>
      <c r="D6" s="20"/>
      <c r="G6" s="2" t="s">
        <v>8</v>
      </c>
    </row>
    <row r="7" spans="2:7" x14ac:dyDescent="0.25">
      <c r="B7" s="18" t="s">
        <v>9</v>
      </c>
      <c r="C7" s="11">
        <v>7.6499999999999999E-2</v>
      </c>
      <c r="D7" s="21">
        <f>D4*C7</f>
        <v>2.7584134615384612</v>
      </c>
      <c r="G7" s="2" t="s">
        <v>10</v>
      </c>
    </row>
    <row r="8" spans="2:7" x14ac:dyDescent="0.25">
      <c r="B8" s="18" t="s">
        <v>11</v>
      </c>
      <c r="C8" s="11">
        <v>6.2E-2</v>
      </c>
      <c r="D8" s="21">
        <f>D4*C8</f>
        <v>2.2355769230769229</v>
      </c>
      <c r="G8" s="2" t="s">
        <v>21</v>
      </c>
    </row>
    <row r="9" spans="2:7" x14ac:dyDescent="0.25">
      <c r="B9" s="18" t="s">
        <v>12</v>
      </c>
      <c r="C9" s="11">
        <v>3.4000000000000002E-2</v>
      </c>
      <c r="D9" s="21">
        <f>D4*C9</f>
        <v>1.2259615384615385</v>
      </c>
      <c r="G9" s="12"/>
    </row>
    <row r="10" spans="2:7" x14ac:dyDescent="0.25">
      <c r="C10" s="2"/>
      <c r="D10" s="20"/>
    </row>
    <row r="11" spans="2:7" x14ac:dyDescent="0.25">
      <c r="B11" s="14" t="s">
        <v>13</v>
      </c>
      <c r="C11" s="2"/>
      <c r="D11" s="20"/>
      <c r="G11" s="2" t="s">
        <v>22</v>
      </c>
    </row>
    <row r="12" spans="2:7" x14ac:dyDescent="0.25">
      <c r="B12" s="22" t="s">
        <v>14</v>
      </c>
      <c r="C12" s="13">
        <v>4</v>
      </c>
      <c r="D12" s="21">
        <f>D4*(C12/1000)</f>
        <v>0.14423076923076922</v>
      </c>
    </row>
    <row r="13" spans="2:7" x14ac:dyDescent="0.25">
      <c r="B13" s="22" t="s">
        <v>15</v>
      </c>
      <c r="C13" s="13">
        <v>15</v>
      </c>
      <c r="D13" s="21">
        <f>D4*(C13/100)</f>
        <v>5.4086538461538458</v>
      </c>
      <c r="G13" s="2" t="s">
        <v>118</v>
      </c>
    </row>
    <row r="14" spans="2:7" x14ac:dyDescent="0.25">
      <c r="C14" s="2"/>
      <c r="D14" s="20"/>
      <c r="G14" s="2" t="s">
        <v>119</v>
      </c>
    </row>
    <row r="15" spans="2:7" x14ac:dyDescent="0.25">
      <c r="B15" s="14" t="s">
        <v>16</v>
      </c>
      <c r="C15" s="2"/>
      <c r="D15" s="21">
        <f>SUM(D4+D7+D8+D9+D12+D13)</f>
        <v>47.83052884615384</v>
      </c>
    </row>
    <row r="16" spans="2:7" x14ac:dyDescent="0.25">
      <c r="C16" s="2"/>
      <c r="D16" s="20"/>
      <c r="G16" s="2" t="s">
        <v>120</v>
      </c>
    </row>
    <row r="17" spans="2:8" x14ac:dyDescent="0.25">
      <c r="B17" s="14" t="s">
        <v>17</v>
      </c>
      <c r="C17" s="2"/>
      <c r="D17" s="21">
        <f>D15-D4</f>
        <v>11.772836538461533</v>
      </c>
    </row>
    <row r="18" spans="2:8" x14ac:dyDescent="0.25">
      <c r="B18" s="14" t="s">
        <v>18</v>
      </c>
      <c r="C18" s="2"/>
      <c r="D18" s="15">
        <f>D15*C3</f>
        <v>99487.499999999985</v>
      </c>
    </row>
    <row r="19" spans="2:8" x14ac:dyDescent="0.25">
      <c r="B19" s="18" t="s">
        <v>31</v>
      </c>
      <c r="C19" s="11">
        <v>0.62</v>
      </c>
      <c r="D19" s="20"/>
    </row>
    <row r="20" spans="2:8" x14ac:dyDescent="0.25">
      <c r="B20" s="18" t="s">
        <v>19</v>
      </c>
      <c r="C20" s="9">
        <v>21800</v>
      </c>
      <c r="D20" s="15">
        <f>C20*C19</f>
        <v>13516</v>
      </c>
    </row>
    <row r="21" spans="2:8" x14ac:dyDescent="0.25">
      <c r="B21" s="14" t="s">
        <v>20</v>
      </c>
      <c r="C21" s="2"/>
      <c r="D21" s="15">
        <f>D18+D20</f>
        <v>113003.49999999999</v>
      </c>
      <c r="H21" s="16"/>
    </row>
    <row r="22" spans="2:8" x14ac:dyDescent="0.25">
      <c r="C22" s="2"/>
      <c r="D22" s="2"/>
      <c r="H22" s="17"/>
    </row>
    <row r="23" spans="2:8" x14ac:dyDescent="0.25">
      <c r="B23" s="18" t="s">
        <v>116</v>
      </c>
      <c r="C23" s="2"/>
      <c r="D23" s="19">
        <f>(($D$18-$D$2))/$D$2</f>
        <v>0.32649999999999979</v>
      </c>
    </row>
    <row r="24" spans="2:8" x14ac:dyDescent="0.25">
      <c r="B24" s="18" t="s">
        <v>117</v>
      </c>
      <c r="C24" s="2"/>
      <c r="D24" s="19">
        <f>(($D$21-$D$2))/$D$2</f>
        <v>0.50671333333333313</v>
      </c>
    </row>
    <row r="25" spans="2:8" s="2" customFormat="1" x14ac:dyDescent="0.25"/>
    <row r="26" spans="2:8" s="2" customFormat="1" x14ac:dyDescent="0.25"/>
    <row r="27" spans="2:8" s="2" customFormat="1" x14ac:dyDescent="0.25"/>
    <row r="28" spans="2:8" s="2" customFormat="1" x14ac:dyDescent="0.25"/>
    <row r="29" spans="2:8" s="2" customFormat="1" x14ac:dyDescent="0.25"/>
    <row r="30" spans="2:8" s="2" customFormat="1" x14ac:dyDescent="0.25"/>
    <row r="31" spans="2:8" s="2" customFormat="1" x14ac:dyDescent="0.25"/>
    <row r="32" spans="2:8" s="2" customFormat="1" x14ac:dyDescent="0.25"/>
    <row r="33" s="2" customFormat="1" x14ac:dyDescent="0.25"/>
    <row r="34" s="2" customFormat="1" x14ac:dyDescent="0.25"/>
    <row r="35" s="2" customFormat="1" x14ac:dyDescent="0.25"/>
    <row r="36" s="2" customFormat="1" x14ac:dyDescent="0.25"/>
    <row r="37" s="2" customFormat="1" x14ac:dyDescent="0.25"/>
    <row r="38" s="2" customFormat="1" x14ac:dyDescent="0.25"/>
    <row r="39" s="2" customFormat="1" x14ac:dyDescent="0.25"/>
    <row r="40" s="2" customFormat="1" x14ac:dyDescent="0.25"/>
    <row r="41" s="2" customFormat="1" x14ac:dyDescent="0.25"/>
    <row r="42" s="2" customFormat="1" x14ac:dyDescent="0.25"/>
    <row r="43" s="2" customFormat="1" x14ac:dyDescent="0.25"/>
    <row r="44" s="2" customFormat="1" x14ac:dyDescent="0.25"/>
    <row r="45" s="2" customFormat="1" x14ac:dyDescent="0.25"/>
    <row r="46" s="2" customFormat="1" x14ac:dyDescent="0.25"/>
    <row r="47" s="2" customFormat="1" x14ac:dyDescent="0.25"/>
    <row r="48" s="2" customFormat="1" x14ac:dyDescent="0.25"/>
    <row r="49" s="2" customFormat="1" x14ac:dyDescent="0.25"/>
    <row r="50" s="2" customFormat="1" x14ac:dyDescent="0.25"/>
    <row r="51" s="2" customFormat="1" x14ac:dyDescent="0.25"/>
    <row r="52" s="2" customFormat="1" x14ac:dyDescent="0.25"/>
    <row r="53" s="2" customFormat="1" x14ac:dyDescent="0.25"/>
    <row r="54" s="2" customFormat="1" x14ac:dyDescent="0.25"/>
    <row r="55" s="2" customFormat="1" x14ac:dyDescent="0.25"/>
    <row r="56" s="2" customFormat="1" x14ac:dyDescent="0.25"/>
    <row r="57" s="2" customFormat="1" x14ac:dyDescent="0.25"/>
    <row r="58" s="2" customFormat="1" x14ac:dyDescent="0.25"/>
    <row r="59" s="2" customFormat="1" x14ac:dyDescent="0.25"/>
    <row r="60" s="2" customFormat="1" x14ac:dyDescent="0.25"/>
    <row r="61" s="2" customFormat="1" x14ac:dyDescent="0.25"/>
    <row r="62" s="2" customFormat="1" x14ac:dyDescent="0.25"/>
    <row r="63" s="2" customFormat="1" x14ac:dyDescent="0.25"/>
    <row r="64" s="2" customFormat="1" x14ac:dyDescent="0.25"/>
    <row r="65" s="2" customFormat="1" x14ac:dyDescent="0.25"/>
    <row r="66" s="2" customFormat="1" x14ac:dyDescent="0.25"/>
    <row r="67" s="2" customFormat="1" x14ac:dyDescent="0.25"/>
    <row r="68" s="2" customFormat="1" x14ac:dyDescent="0.25"/>
    <row r="69" s="2" customFormat="1" x14ac:dyDescent="0.25"/>
    <row r="70" s="2" customFormat="1" x14ac:dyDescent="0.25"/>
    <row r="71" s="2" customFormat="1" x14ac:dyDescent="0.25"/>
    <row r="72" s="2" customFormat="1" x14ac:dyDescent="0.25"/>
    <row r="73" s="2" customFormat="1" x14ac:dyDescent="0.25"/>
    <row r="74" s="2" customFormat="1" x14ac:dyDescent="0.25"/>
    <row r="75" s="2" customFormat="1" x14ac:dyDescent="0.25"/>
    <row r="76" s="2" customFormat="1" x14ac:dyDescent="0.25"/>
    <row r="77" s="2" customFormat="1" x14ac:dyDescent="0.25"/>
    <row r="78" s="2" customFormat="1" x14ac:dyDescent="0.25"/>
    <row r="79" s="2" customFormat="1" x14ac:dyDescent="0.25"/>
    <row r="80" s="2" customFormat="1" x14ac:dyDescent="0.25"/>
    <row r="81" s="2" customFormat="1" x14ac:dyDescent="0.25"/>
    <row r="82" s="2" customFormat="1" x14ac:dyDescent="0.25"/>
    <row r="83" s="2" customFormat="1" x14ac:dyDescent="0.25"/>
    <row r="84" s="2" customFormat="1" x14ac:dyDescent="0.25"/>
    <row r="85" s="2" customFormat="1" x14ac:dyDescent="0.25"/>
    <row r="86" s="2" customFormat="1" x14ac:dyDescent="0.25"/>
    <row r="87" s="2" customFormat="1" x14ac:dyDescent="0.25"/>
    <row r="88" s="2" customFormat="1" x14ac:dyDescent="0.25"/>
    <row r="89" s="2" customFormat="1" x14ac:dyDescent="0.25"/>
    <row r="90" s="2" customFormat="1" x14ac:dyDescent="0.25"/>
    <row r="91" s="2" customFormat="1" x14ac:dyDescent="0.25"/>
    <row r="92" s="2" customFormat="1" x14ac:dyDescent="0.25"/>
    <row r="93" s="2" customFormat="1" x14ac:dyDescent="0.25"/>
    <row r="94" s="2" customFormat="1" x14ac:dyDescent="0.25"/>
    <row r="95" s="2" customFormat="1" x14ac:dyDescent="0.25"/>
    <row r="96" s="2" customFormat="1" x14ac:dyDescent="0.25"/>
    <row r="97" s="2" customFormat="1" x14ac:dyDescent="0.25"/>
    <row r="98" s="2" customFormat="1" x14ac:dyDescent="0.25"/>
    <row r="99" s="2" customFormat="1" x14ac:dyDescent="0.25"/>
    <row r="100" s="2" customFormat="1" x14ac:dyDescent="0.25"/>
    <row r="101" s="2" customFormat="1" x14ac:dyDescent="0.25"/>
    <row r="102" s="2" customFormat="1" x14ac:dyDescent="0.25"/>
    <row r="103" s="2" customFormat="1" x14ac:dyDescent="0.25"/>
    <row r="104" s="2" customFormat="1" x14ac:dyDescent="0.25"/>
    <row r="105" s="2" customFormat="1" x14ac:dyDescent="0.25"/>
    <row r="106" s="2" customFormat="1" x14ac:dyDescent="0.25"/>
    <row r="107" s="2" customFormat="1" x14ac:dyDescent="0.25"/>
    <row r="108" s="2" customFormat="1" x14ac:dyDescent="0.25"/>
    <row r="109" s="2" customFormat="1" x14ac:dyDescent="0.25"/>
    <row r="110" s="2" customFormat="1" x14ac:dyDescent="0.25"/>
    <row r="111" s="2" customFormat="1" x14ac:dyDescent="0.25"/>
    <row r="112" s="2" customFormat="1" x14ac:dyDescent="0.25"/>
    <row r="113" s="2" customFormat="1" x14ac:dyDescent="0.25"/>
    <row r="114" s="2" customFormat="1" x14ac:dyDescent="0.25"/>
    <row r="115" s="2" customFormat="1" x14ac:dyDescent="0.25"/>
    <row r="116" s="2" customFormat="1" x14ac:dyDescent="0.25"/>
    <row r="117" s="2" customFormat="1" x14ac:dyDescent="0.25"/>
    <row r="118" s="2" customFormat="1" x14ac:dyDescent="0.25"/>
    <row r="119" s="2" customFormat="1" x14ac:dyDescent="0.25"/>
    <row r="120" s="2" customFormat="1" x14ac:dyDescent="0.25"/>
    <row r="121" s="2" customFormat="1" x14ac:dyDescent="0.25"/>
    <row r="122" s="2" customFormat="1" x14ac:dyDescent="0.25"/>
    <row r="123" s="2" customFormat="1" x14ac:dyDescent="0.25"/>
    <row r="124" s="2" customFormat="1" x14ac:dyDescent="0.25"/>
    <row r="125" s="2" customFormat="1" x14ac:dyDescent="0.25"/>
    <row r="126" s="2" customFormat="1" x14ac:dyDescent="0.25"/>
    <row r="127" s="2" customFormat="1" x14ac:dyDescent="0.25"/>
    <row r="128" s="2" customFormat="1" x14ac:dyDescent="0.25"/>
    <row r="129" s="2" customFormat="1" x14ac:dyDescent="0.25"/>
    <row r="130" s="2" customFormat="1" x14ac:dyDescent="0.25"/>
    <row r="131" s="2" customFormat="1" x14ac:dyDescent="0.25"/>
    <row r="132" s="2" customFormat="1" x14ac:dyDescent="0.25"/>
    <row r="133" s="2" customFormat="1" x14ac:dyDescent="0.25"/>
    <row r="134" s="2" customFormat="1" x14ac:dyDescent="0.25"/>
    <row r="135" s="2" customFormat="1" x14ac:dyDescent="0.25"/>
    <row r="136" s="2" customFormat="1" x14ac:dyDescent="0.25"/>
    <row r="137" s="2" customFormat="1" x14ac:dyDescent="0.25"/>
    <row r="138" s="2" customFormat="1" x14ac:dyDescent="0.25"/>
    <row r="139" s="2" customFormat="1" x14ac:dyDescent="0.25"/>
    <row r="140" s="2" customFormat="1" x14ac:dyDescent="0.25"/>
    <row r="141" s="2" customFormat="1" x14ac:dyDescent="0.25"/>
    <row r="142" s="2" customFormat="1" x14ac:dyDescent="0.25"/>
    <row r="143" s="2" customFormat="1" x14ac:dyDescent="0.25"/>
    <row r="144" s="2" customFormat="1" x14ac:dyDescent="0.25"/>
    <row r="145" s="2" customFormat="1" x14ac:dyDescent="0.25"/>
    <row r="146" s="2" customFormat="1" x14ac:dyDescent="0.25"/>
    <row r="147" s="2" customFormat="1" x14ac:dyDescent="0.25"/>
    <row r="148" s="2" customFormat="1" x14ac:dyDescent="0.25"/>
    <row r="149" s="2" customFormat="1" x14ac:dyDescent="0.25"/>
    <row r="150" s="2" customFormat="1" x14ac:dyDescent="0.25"/>
    <row r="151" s="2" customFormat="1" x14ac:dyDescent="0.25"/>
    <row r="152" s="2" customFormat="1" x14ac:dyDescent="0.25"/>
    <row r="153" s="2" customFormat="1" x14ac:dyDescent="0.25"/>
    <row r="154" s="2" customFormat="1" x14ac:dyDescent="0.25"/>
    <row r="155" s="2" customFormat="1" x14ac:dyDescent="0.25"/>
    <row r="156" s="2" customFormat="1" x14ac:dyDescent="0.25"/>
    <row r="157" s="2" customFormat="1" x14ac:dyDescent="0.25"/>
    <row r="158" s="2" customFormat="1" x14ac:dyDescent="0.25"/>
    <row r="159" s="2" customFormat="1" x14ac:dyDescent="0.25"/>
    <row r="160" s="2" customFormat="1" x14ac:dyDescent="0.25"/>
    <row r="161" s="2" customFormat="1" x14ac:dyDescent="0.25"/>
    <row r="162" s="2" customFormat="1" x14ac:dyDescent="0.25"/>
    <row r="163" s="2" customFormat="1" x14ac:dyDescent="0.25"/>
    <row r="164" s="2" customFormat="1" x14ac:dyDescent="0.25"/>
    <row r="165" s="2" customFormat="1" x14ac:dyDescent="0.25"/>
    <row r="166" s="2" customFormat="1" x14ac:dyDescent="0.25"/>
    <row r="167" s="2" customFormat="1" x14ac:dyDescent="0.25"/>
    <row r="168" s="2" customFormat="1" x14ac:dyDescent="0.25"/>
    <row r="169" s="2" customFormat="1" x14ac:dyDescent="0.25"/>
    <row r="170" s="2" customFormat="1" x14ac:dyDescent="0.25"/>
    <row r="171" s="2" customFormat="1" x14ac:dyDescent="0.25"/>
    <row r="172" s="2" customFormat="1" x14ac:dyDescent="0.25"/>
    <row r="173" s="2" customFormat="1" x14ac:dyDescent="0.25"/>
    <row r="174" s="2" customFormat="1" x14ac:dyDescent="0.25"/>
    <row r="175" s="2" customFormat="1" x14ac:dyDescent="0.25"/>
    <row r="176" s="2" customFormat="1" x14ac:dyDescent="0.25"/>
    <row r="177" s="2" customFormat="1" x14ac:dyDescent="0.25"/>
    <row r="178" s="2" customFormat="1" x14ac:dyDescent="0.25"/>
    <row r="179" s="2" customFormat="1" x14ac:dyDescent="0.25"/>
    <row r="180" s="2" customFormat="1" x14ac:dyDescent="0.25"/>
    <row r="181" s="2" customFormat="1" x14ac:dyDescent="0.25"/>
    <row r="182" s="2" customFormat="1" x14ac:dyDescent="0.25"/>
    <row r="183" s="2" customFormat="1" x14ac:dyDescent="0.25"/>
    <row r="184" s="2" customFormat="1" x14ac:dyDescent="0.25"/>
    <row r="185" s="2" customFormat="1" x14ac:dyDescent="0.25"/>
    <row r="186" s="2" customFormat="1" x14ac:dyDescent="0.25"/>
    <row r="187" s="2" customFormat="1" x14ac:dyDescent="0.25"/>
    <row r="188" s="2" customFormat="1" x14ac:dyDescent="0.25"/>
    <row r="189" s="2" customFormat="1" x14ac:dyDescent="0.25"/>
    <row r="190" s="2" customFormat="1" x14ac:dyDescent="0.25"/>
    <row r="191" s="2" customFormat="1" x14ac:dyDescent="0.25"/>
    <row r="192" s="2" customFormat="1" x14ac:dyDescent="0.25"/>
    <row r="193" s="2" customFormat="1" x14ac:dyDescent="0.25"/>
    <row r="194" s="2" customFormat="1" x14ac:dyDescent="0.25"/>
    <row r="195" s="2" customFormat="1" x14ac:dyDescent="0.25"/>
    <row r="196" s="2" customFormat="1" x14ac:dyDescent="0.25"/>
    <row r="197" s="2" customFormat="1" x14ac:dyDescent="0.25"/>
    <row r="198" s="2" customFormat="1" x14ac:dyDescent="0.25"/>
    <row r="199" s="2" customFormat="1" x14ac:dyDescent="0.25"/>
    <row r="200" s="2" customFormat="1" x14ac:dyDescent="0.25"/>
    <row r="201" s="2" customFormat="1" x14ac:dyDescent="0.25"/>
    <row r="202" s="2" customFormat="1" x14ac:dyDescent="0.25"/>
    <row r="203" s="2" customFormat="1" x14ac:dyDescent="0.25"/>
    <row r="204" s="2" customFormat="1" x14ac:dyDescent="0.25"/>
    <row r="205" s="2" customFormat="1" x14ac:dyDescent="0.25"/>
    <row r="206" s="2" customFormat="1" x14ac:dyDescent="0.25"/>
    <row r="207" s="2" customFormat="1" x14ac:dyDescent="0.25"/>
    <row r="208" s="2" customFormat="1" x14ac:dyDescent="0.25"/>
    <row r="209" s="2" customFormat="1" x14ac:dyDescent="0.25"/>
    <row r="210" s="2" customFormat="1" x14ac:dyDescent="0.25"/>
    <row r="211" s="2" customFormat="1" x14ac:dyDescent="0.25"/>
    <row r="212" s="2" customFormat="1" x14ac:dyDescent="0.25"/>
    <row r="213" s="2" customFormat="1" x14ac:dyDescent="0.25"/>
    <row r="214" s="2" customFormat="1" x14ac:dyDescent="0.25"/>
    <row r="215" s="2" customFormat="1" x14ac:dyDescent="0.25"/>
    <row r="216" s="2" customFormat="1" x14ac:dyDescent="0.25"/>
    <row r="217" s="2" customFormat="1" x14ac:dyDescent="0.25"/>
    <row r="218" s="2" customFormat="1" x14ac:dyDescent="0.25"/>
    <row r="219" s="2" customFormat="1" x14ac:dyDescent="0.25"/>
    <row r="220" s="2" customFormat="1" x14ac:dyDescent="0.25"/>
    <row r="221" s="2" customFormat="1" x14ac:dyDescent="0.25"/>
    <row r="222" s="2" customFormat="1" x14ac:dyDescent="0.25"/>
    <row r="223" s="2" customFormat="1" x14ac:dyDescent="0.25"/>
    <row r="224" s="2" customFormat="1" x14ac:dyDescent="0.25"/>
    <row r="225" s="2" customFormat="1" x14ac:dyDescent="0.25"/>
    <row r="226" s="2" customFormat="1" x14ac:dyDescent="0.25"/>
    <row r="227" s="2" customFormat="1" x14ac:dyDescent="0.25"/>
    <row r="228" s="2" customFormat="1" x14ac:dyDescent="0.25"/>
    <row r="229" s="2" customFormat="1" x14ac:dyDescent="0.25"/>
    <row r="230" s="2" customFormat="1" x14ac:dyDescent="0.25"/>
    <row r="231" s="2" customFormat="1" x14ac:dyDescent="0.25"/>
    <row r="232" s="2" customFormat="1" x14ac:dyDescent="0.25"/>
    <row r="233" s="2" customFormat="1" x14ac:dyDescent="0.25"/>
    <row r="234" s="2" customFormat="1" x14ac:dyDescent="0.25"/>
    <row r="235" s="2" customFormat="1" x14ac:dyDescent="0.25"/>
    <row r="236" s="2" customFormat="1" x14ac:dyDescent="0.25"/>
    <row r="237" s="2" customFormat="1" x14ac:dyDescent="0.25"/>
    <row r="238" s="2" customFormat="1" x14ac:dyDescent="0.25"/>
    <row r="239" s="2" customFormat="1" x14ac:dyDescent="0.25"/>
    <row r="240" s="2" customFormat="1" x14ac:dyDescent="0.25"/>
    <row r="241" s="2" customFormat="1" x14ac:dyDescent="0.25"/>
    <row r="242" s="2" customFormat="1" x14ac:dyDescent="0.25"/>
    <row r="243" s="2" customFormat="1" x14ac:dyDescent="0.25"/>
    <row r="244" s="2" customFormat="1" x14ac:dyDescent="0.25"/>
    <row r="245" s="2" customFormat="1" x14ac:dyDescent="0.25"/>
    <row r="246" s="2" customFormat="1" x14ac:dyDescent="0.25"/>
    <row r="247" s="2" customFormat="1" x14ac:dyDescent="0.25"/>
    <row r="248" s="2" customFormat="1" x14ac:dyDescent="0.25"/>
    <row r="249" s="2" customFormat="1" x14ac:dyDescent="0.25"/>
    <row r="250" s="2" customFormat="1" x14ac:dyDescent="0.25"/>
    <row r="251" s="2" customFormat="1" x14ac:dyDescent="0.25"/>
    <row r="252" s="2" customFormat="1" x14ac:dyDescent="0.25"/>
    <row r="253" s="2" customFormat="1" x14ac:dyDescent="0.25"/>
    <row r="254" s="2" customFormat="1" x14ac:dyDescent="0.25"/>
    <row r="255" s="2" customFormat="1" x14ac:dyDescent="0.25"/>
    <row r="256" s="2" customFormat="1" x14ac:dyDescent="0.25"/>
    <row r="257" s="2" customFormat="1" x14ac:dyDescent="0.25"/>
    <row r="258" s="2" customFormat="1" x14ac:dyDescent="0.25"/>
    <row r="259" s="2" customFormat="1" x14ac:dyDescent="0.25"/>
    <row r="260" s="2" customFormat="1" x14ac:dyDescent="0.25"/>
    <row r="261" s="2" customFormat="1" x14ac:dyDescent="0.25"/>
    <row r="262" s="2" customFormat="1" x14ac:dyDescent="0.25"/>
    <row r="263" s="2" customFormat="1" x14ac:dyDescent="0.25"/>
    <row r="264" s="2" customFormat="1" x14ac:dyDescent="0.25"/>
    <row r="265" s="2" customFormat="1" x14ac:dyDescent="0.25"/>
    <row r="266" s="2" customFormat="1" x14ac:dyDescent="0.25"/>
    <row r="267" s="2" customFormat="1" x14ac:dyDescent="0.25"/>
    <row r="268" s="2" customFormat="1" x14ac:dyDescent="0.25"/>
    <row r="269" s="2" customFormat="1" x14ac:dyDescent="0.25"/>
    <row r="270" s="2" customFormat="1" x14ac:dyDescent="0.25"/>
    <row r="271" s="2" customFormat="1" x14ac:dyDescent="0.25"/>
    <row r="272" s="2" customFormat="1" x14ac:dyDescent="0.25"/>
    <row r="273" s="2" customFormat="1" x14ac:dyDescent="0.25"/>
    <row r="274" s="2" customFormat="1" x14ac:dyDescent="0.25"/>
    <row r="275" s="2" customFormat="1" x14ac:dyDescent="0.25"/>
    <row r="276" s="2" customFormat="1" x14ac:dyDescent="0.25"/>
    <row r="277" s="2" customFormat="1" x14ac:dyDescent="0.25"/>
    <row r="278" s="2" customFormat="1" x14ac:dyDescent="0.25"/>
    <row r="279" s="2" customFormat="1" x14ac:dyDescent="0.25"/>
    <row r="280" s="2" customFormat="1" x14ac:dyDescent="0.25"/>
    <row r="281" s="2" customFormat="1" x14ac:dyDescent="0.25"/>
    <row r="282" s="2" customFormat="1" x14ac:dyDescent="0.25"/>
    <row r="283" s="2" customFormat="1" x14ac:dyDescent="0.25"/>
    <row r="284" s="2" customFormat="1" x14ac:dyDescent="0.25"/>
    <row r="285" s="2" customFormat="1" x14ac:dyDescent="0.25"/>
    <row r="286" s="2" customFormat="1" x14ac:dyDescent="0.25"/>
    <row r="287" s="2" customFormat="1" x14ac:dyDescent="0.25"/>
    <row r="288" s="2" customFormat="1" x14ac:dyDescent="0.25"/>
    <row r="289" s="2" customFormat="1" x14ac:dyDescent="0.25"/>
    <row r="290" s="2" customFormat="1" x14ac:dyDescent="0.25"/>
    <row r="291" s="2" customFormat="1" x14ac:dyDescent="0.25"/>
    <row r="292" s="2" customFormat="1" x14ac:dyDescent="0.25"/>
    <row r="293" s="2" customFormat="1" x14ac:dyDescent="0.25"/>
    <row r="294" s="2" customFormat="1" x14ac:dyDescent="0.25"/>
    <row r="295" s="2" customFormat="1" x14ac:dyDescent="0.25"/>
  </sheetData>
  <sheetProtection algorithmName="SHA-512" hashValue="1VQkcS550ZS7SO3dP3STuICetyXGXsbvGpItc0e4vB58kCTqgSfEiwq6YRmeuG7/etWsNyDvblw98cSYAyLyBA==" saltValue="SjdsahJsNmOzRkvK57lzvQ==" spinCount="100000" sheet="1" objects="1" scenarios="1" selectLockedCells="1"/>
  <pageMargins left="0.25" right="0.25" top="0.75" bottom="0.75" header="0.3" footer="0.3"/>
  <pageSetup scale="68"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03AD1-73D8-4750-B444-40F3F247D269}">
  <dimension ref="A1:D209"/>
  <sheetViews>
    <sheetView showGridLines="0" zoomScale="110" zoomScaleNormal="110" workbookViewId="0"/>
  </sheetViews>
  <sheetFormatPr defaultColWidth="9.140625" defaultRowHeight="12.75" x14ac:dyDescent="0.2"/>
  <cols>
    <col min="1" max="1" width="13.7109375" style="340" customWidth="1"/>
    <col min="2" max="2" width="25.85546875" style="340" customWidth="1"/>
    <col min="3" max="3" width="11.140625" style="347" customWidth="1"/>
    <col min="4" max="4" width="22.28515625" style="340" customWidth="1"/>
    <col min="5" max="16384" width="9.140625" style="340"/>
  </cols>
  <sheetData>
    <row r="1" spans="1:4" ht="30" customHeight="1" x14ac:dyDescent="0.2">
      <c r="A1" s="341" t="s">
        <v>873</v>
      </c>
      <c r="B1" s="341"/>
      <c r="C1" s="341"/>
      <c r="D1" s="341"/>
    </row>
    <row r="2" spans="1:4" x14ac:dyDescent="0.2">
      <c r="A2" s="342" t="s">
        <v>874</v>
      </c>
      <c r="B2" s="343"/>
      <c r="C2" s="343"/>
      <c r="D2" s="343"/>
    </row>
    <row r="3" spans="1:4" x14ac:dyDescent="0.2">
      <c r="A3" s="342" t="s">
        <v>875</v>
      </c>
      <c r="B3" s="344"/>
      <c r="C3" s="345"/>
      <c r="D3" s="344"/>
    </row>
    <row r="4" spans="1:4" x14ac:dyDescent="0.2">
      <c r="A4" s="342" t="s">
        <v>876</v>
      </c>
      <c r="B4" s="344"/>
      <c r="C4" s="345"/>
      <c r="D4" s="344"/>
    </row>
    <row r="5" spans="1:4" x14ac:dyDescent="0.2">
      <c r="A5" s="342" t="s">
        <v>877</v>
      </c>
      <c r="B5" s="344"/>
      <c r="C5" s="345"/>
      <c r="D5" s="344"/>
    </row>
    <row r="6" spans="1:4" x14ac:dyDescent="0.2">
      <c r="A6" s="346"/>
    </row>
    <row r="7" spans="1:4" x14ac:dyDescent="0.2">
      <c r="A7" s="348" t="s">
        <v>878</v>
      </c>
      <c r="B7" s="348" t="s">
        <v>879</v>
      </c>
      <c r="C7" s="348" t="s">
        <v>880</v>
      </c>
    </row>
    <row r="8" spans="1:4" x14ac:dyDescent="0.2">
      <c r="A8" s="349">
        <v>1</v>
      </c>
      <c r="B8" s="350" t="s">
        <v>881</v>
      </c>
      <c r="C8" s="351"/>
    </row>
    <row r="9" spans="1:4" x14ac:dyDescent="0.2">
      <c r="A9" s="349">
        <v>44190</v>
      </c>
      <c r="B9" s="350" t="s">
        <v>882</v>
      </c>
      <c r="C9" s="351"/>
    </row>
    <row r="10" spans="1:4" x14ac:dyDescent="0.2">
      <c r="A10" s="349">
        <v>44555</v>
      </c>
      <c r="B10" s="350" t="s">
        <v>882</v>
      </c>
      <c r="C10" s="351"/>
    </row>
    <row r="11" spans="1:4" x14ac:dyDescent="0.2">
      <c r="A11" s="349">
        <v>44920</v>
      </c>
      <c r="B11" s="350" t="s">
        <v>882</v>
      </c>
      <c r="C11" s="351"/>
    </row>
    <row r="12" spans="1:4" x14ac:dyDescent="0.2">
      <c r="A12" s="349">
        <v>45285</v>
      </c>
      <c r="B12" s="350" t="s">
        <v>882</v>
      </c>
      <c r="C12" s="351"/>
    </row>
    <row r="13" spans="1:4" x14ac:dyDescent="0.2">
      <c r="A13" s="349">
        <v>45651</v>
      </c>
      <c r="B13" s="350" t="s">
        <v>882</v>
      </c>
      <c r="C13" s="351"/>
    </row>
    <row r="14" spans="1:4" x14ac:dyDescent="0.2">
      <c r="A14" s="349">
        <v>46016</v>
      </c>
      <c r="B14" s="350" t="s">
        <v>882</v>
      </c>
      <c r="C14" s="351"/>
    </row>
    <row r="15" spans="1:4" x14ac:dyDescent="0.2">
      <c r="A15" s="349">
        <v>46381</v>
      </c>
      <c r="B15" s="350" t="s">
        <v>882</v>
      </c>
      <c r="C15" s="351"/>
    </row>
    <row r="16" spans="1:4" x14ac:dyDescent="0.2">
      <c r="A16" s="349">
        <v>46746</v>
      </c>
      <c r="B16" s="350" t="s">
        <v>882</v>
      </c>
      <c r="C16" s="351"/>
    </row>
    <row r="17" spans="1:3" x14ac:dyDescent="0.2">
      <c r="A17" s="349">
        <v>47112</v>
      </c>
      <c r="B17" s="350" t="s">
        <v>882</v>
      </c>
      <c r="C17" s="351"/>
    </row>
    <row r="18" spans="1:3" x14ac:dyDescent="0.2">
      <c r="A18" s="349">
        <v>47477</v>
      </c>
      <c r="B18" s="350" t="s">
        <v>882</v>
      </c>
      <c r="C18" s="351"/>
    </row>
    <row r="19" spans="1:3" x14ac:dyDescent="0.2">
      <c r="A19" s="349">
        <v>47842</v>
      </c>
      <c r="B19" s="350" t="s">
        <v>882</v>
      </c>
      <c r="C19" s="351"/>
    </row>
    <row r="20" spans="1:3" x14ac:dyDescent="0.2">
      <c r="A20" s="349">
        <v>43831</v>
      </c>
      <c r="B20" s="350" t="s">
        <v>883</v>
      </c>
      <c r="C20" s="351"/>
    </row>
    <row r="21" spans="1:3" x14ac:dyDescent="0.2">
      <c r="A21" s="349">
        <v>44197</v>
      </c>
      <c r="B21" s="350" t="s">
        <v>883</v>
      </c>
      <c r="C21" s="351"/>
    </row>
    <row r="22" spans="1:3" x14ac:dyDescent="0.2">
      <c r="A22" s="349">
        <v>44562</v>
      </c>
      <c r="B22" s="350" t="s">
        <v>883</v>
      </c>
      <c r="C22" s="351"/>
    </row>
    <row r="23" spans="1:3" x14ac:dyDescent="0.2">
      <c r="A23" s="349">
        <v>44927</v>
      </c>
      <c r="B23" s="350" t="s">
        <v>883</v>
      </c>
      <c r="C23" s="351"/>
    </row>
    <row r="24" spans="1:3" x14ac:dyDescent="0.2">
      <c r="A24" s="349">
        <v>45292</v>
      </c>
      <c r="B24" s="350" t="s">
        <v>883</v>
      </c>
      <c r="C24" s="351"/>
    </row>
    <row r="25" spans="1:3" x14ac:dyDescent="0.2">
      <c r="A25" s="349">
        <v>45658</v>
      </c>
      <c r="B25" s="350" t="s">
        <v>883</v>
      </c>
      <c r="C25" s="351"/>
    </row>
    <row r="26" spans="1:3" x14ac:dyDescent="0.2">
      <c r="A26" s="349">
        <v>46023</v>
      </c>
      <c r="B26" s="350" t="s">
        <v>883</v>
      </c>
      <c r="C26" s="351"/>
    </row>
    <row r="27" spans="1:3" x14ac:dyDescent="0.2">
      <c r="A27" s="349">
        <v>46388</v>
      </c>
      <c r="B27" s="350" t="s">
        <v>883</v>
      </c>
      <c r="C27" s="351"/>
    </row>
    <row r="28" spans="1:3" x14ac:dyDescent="0.2">
      <c r="A28" s="349">
        <v>46753</v>
      </c>
      <c r="B28" s="350" t="s">
        <v>883</v>
      </c>
      <c r="C28" s="351"/>
    </row>
    <row r="29" spans="1:3" x14ac:dyDescent="0.2">
      <c r="A29" s="349">
        <v>47119</v>
      </c>
      <c r="B29" s="350" t="s">
        <v>883</v>
      </c>
      <c r="C29" s="351"/>
    </row>
    <row r="30" spans="1:3" x14ac:dyDescent="0.2">
      <c r="A30" s="349">
        <v>47484</v>
      </c>
      <c r="B30" s="350" t="s">
        <v>883</v>
      </c>
      <c r="C30" s="351"/>
    </row>
    <row r="31" spans="1:3" x14ac:dyDescent="0.2">
      <c r="A31" s="349">
        <f>(DATE(2019+1,10,1)+(2-1)*7)+2-WEEKDAY(DATE(2019+1,10,1),1)+IF(2&lt;WEEKDAY(DATE(2019+1,10,1),1),7,0)</f>
        <v>44116</v>
      </c>
      <c r="B31" s="350" t="s">
        <v>884</v>
      </c>
      <c r="C31" s="351" t="s">
        <v>885</v>
      </c>
    </row>
    <row r="32" spans="1:3" x14ac:dyDescent="0.2">
      <c r="A32" s="349">
        <f>(DATE(YEAR(A31)+1,10,1)+(2-1)*7)+2-WEEKDAY(DATE(YEAR(A31)+1,10,1),1)+IF(2&lt;WEEKDAY(DATE(YEAR(A31)+1,10,1),1),7,0)</f>
        <v>44480</v>
      </c>
      <c r="B32" s="350" t="s">
        <v>884</v>
      </c>
      <c r="C32" s="351" t="s">
        <v>885</v>
      </c>
    </row>
    <row r="33" spans="1:3" x14ac:dyDescent="0.2">
      <c r="A33" s="349">
        <f t="shared" ref="A33:A41" si="0">(DATE(YEAR(A32)+1,10,1)+(2-1)*7)+2-WEEKDAY(DATE(YEAR(A32)+1,10,1),1)+IF(2&lt;WEEKDAY(DATE(YEAR(A32)+1,10,1),1),7,0)</f>
        <v>44844</v>
      </c>
      <c r="B33" s="350" t="s">
        <v>884</v>
      </c>
      <c r="C33" s="351" t="s">
        <v>885</v>
      </c>
    </row>
    <row r="34" spans="1:3" x14ac:dyDescent="0.2">
      <c r="A34" s="349">
        <f t="shared" si="0"/>
        <v>45208</v>
      </c>
      <c r="B34" s="350" t="s">
        <v>884</v>
      </c>
      <c r="C34" s="351" t="s">
        <v>885</v>
      </c>
    </row>
    <row r="35" spans="1:3" x14ac:dyDescent="0.2">
      <c r="A35" s="349">
        <f t="shared" si="0"/>
        <v>45579</v>
      </c>
      <c r="B35" s="350" t="s">
        <v>884</v>
      </c>
      <c r="C35" s="351" t="s">
        <v>885</v>
      </c>
    </row>
    <row r="36" spans="1:3" x14ac:dyDescent="0.2">
      <c r="A36" s="349">
        <f t="shared" si="0"/>
        <v>45943</v>
      </c>
      <c r="B36" s="350" t="s">
        <v>884</v>
      </c>
      <c r="C36" s="351" t="s">
        <v>885</v>
      </c>
    </row>
    <row r="37" spans="1:3" x14ac:dyDescent="0.2">
      <c r="A37" s="349">
        <f t="shared" si="0"/>
        <v>46307</v>
      </c>
      <c r="B37" s="350" t="s">
        <v>884</v>
      </c>
      <c r="C37" s="351" t="s">
        <v>885</v>
      </c>
    </row>
    <row r="38" spans="1:3" x14ac:dyDescent="0.2">
      <c r="A38" s="349">
        <f t="shared" si="0"/>
        <v>46671</v>
      </c>
      <c r="B38" s="350" t="s">
        <v>884</v>
      </c>
      <c r="C38" s="351" t="s">
        <v>885</v>
      </c>
    </row>
    <row r="39" spans="1:3" x14ac:dyDescent="0.2">
      <c r="A39" s="349">
        <f t="shared" si="0"/>
        <v>47035</v>
      </c>
      <c r="B39" s="350" t="s">
        <v>884</v>
      </c>
      <c r="C39" s="351" t="s">
        <v>885</v>
      </c>
    </row>
    <row r="40" spans="1:3" x14ac:dyDescent="0.2">
      <c r="A40" s="349">
        <f t="shared" si="0"/>
        <v>47399</v>
      </c>
      <c r="B40" s="350" t="s">
        <v>884</v>
      </c>
      <c r="C40" s="351" t="s">
        <v>885</v>
      </c>
    </row>
    <row r="41" spans="1:3" x14ac:dyDescent="0.2">
      <c r="A41" s="349">
        <f t="shared" si="0"/>
        <v>47770</v>
      </c>
      <c r="B41" s="350" t="s">
        <v>884</v>
      </c>
      <c r="C41" s="351" t="s">
        <v>885</v>
      </c>
    </row>
    <row r="42" spans="1:3" x14ac:dyDescent="0.2">
      <c r="A42" s="349">
        <v>44016</v>
      </c>
      <c r="B42" s="350" t="s">
        <v>886</v>
      </c>
      <c r="C42" s="351" t="s">
        <v>885</v>
      </c>
    </row>
    <row r="43" spans="1:3" x14ac:dyDescent="0.2">
      <c r="A43" s="349">
        <v>44381</v>
      </c>
      <c r="B43" s="350" t="s">
        <v>886</v>
      </c>
      <c r="C43" s="351" t="s">
        <v>885</v>
      </c>
    </row>
    <row r="44" spans="1:3" x14ac:dyDescent="0.2">
      <c r="A44" s="349">
        <v>44746</v>
      </c>
      <c r="B44" s="350" t="s">
        <v>886</v>
      </c>
      <c r="C44" s="351" t="s">
        <v>885</v>
      </c>
    </row>
    <row r="45" spans="1:3" x14ac:dyDescent="0.2">
      <c r="A45" s="349">
        <v>45111</v>
      </c>
      <c r="B45" s="350" t="s">
        <v>886</v>
      </c>
      <c r="C45" s="351" t="s">
        <v>885</v>
      </c>
    </row>
    <row r="46" spans="1:3" x14ac:dyDescent="0.2">
      <c r="A46" s="349">
        <v>45477</v>
      </c>
      <c r="B46" s="350" t="s">
        <v>886</v>
      </c>
      <c r="C46" s="351" t="s">
        <v>885</v>
      </c>
    </row>
    <row r="47" spans="1:3" x14ac:dyDescent="0.2">
      <c r="A47" s="349">
        <v>45842</v>
      </c>
      <c r="B47" s="350" t="s">
        <v>886</v>
      </c>
      <c r="C47" s="351" t="s">
        <v>885</v>
      </c>
    </row>
    <row r="48" spans="1:3" x14ac:dyDescent="0.2">
      <c r="A48" s="349">
        <v>46207</v>
      </c>
      <c r="B48" s="350" t="s">
        <v>886</v>
      </c>
      <c r="C48" s="351" t="s">
        <v>885</v>
      </c>
    </row>
    <row r="49" spans="1:3" x14ac:dyDescent="0.2">
      <c r="A49" s="349">
        <v>46572</v>
      </c>
      <c r="B49" s="350" t="s">
        <v>886</v>
      </c>
      <c r="C49" s="351" t="s">
        <v>885</v>
      </c>
    </row>
    <row r="50" spans="1:3" x14ac:dyDescent="0.2">
      <c r="A50" s="349">
        <v>46938</v>
      </c>
      <c r="B50" s="350" t="s">
        <v>886</v>
      </c>
      <c r="C50" s="351" t="s">
        <v>885</v>
      </c>
    </row>
    <row r="51" spans="1:3" x14ac:dyDescent="0.2">
      <c r="A51" s="349">
        <v>47303</v>
      </c>
      <c r="B51" s="350" t="s">
        <v>886</v>
      </c>
      <c r="C51" s="351" t="s">
        <v>885</v>
      </c>
    </row>
    <row r="52" spans="1:3" x14ac:dyDescent="0.2">
      <c r="A52" s="349">
        <v>47668</v>
      </c>
      <c r="B52" s="350" t="s">
        <v>886</v>
      </c>
      <c r="C52" s="351" t="s">
        <v>885</v>
      </c>
    </row>
    <row r="53" spans="1:3" x14ac:dyDescent="0.2">
      <c r="A53" s="349">
        <f>(DATE(2019+1,9,1)+(1-1)*7)+2-WEEKDAY(DATE(2019+1,9,1),1)+IF(2&lt;WEEKDAY(DATE(2019+1,9,1),1),7,0)</f>
        <v>44081</v>
      </c>
      <c r="B53" s="350" t="s">
        <v>887</v>
      </c>
      <c r="C53" s="351" t="s">
        <v>885</v>
      </c>
    </row>
    <row r="54" spans="1:3" x14ac:dyDescent="0.2">
      <c r="A54" s="349">
        <f t="shared" ref="A54" si="1">(DATE(YEAR(A53)+1,9,1)+(1-1)*7)+2-WEEKDAY(DATE(YEAR(A53)+1,9,1),1)+IF(2&lt;WEEKDAY(DATE(YEAR(A53)+1,9,1),1),7,0)</f>
        <v>44445</v>
      </c>
      <c r="B54" s="350" t="s">
        <v>887</v>
      </c>
      <c r="C54" s="351" t="s">
        <v>885</v>
      </c>
    </row>
    <row r="55" spans="1:3" x14ac:dyDescent="0.2">
      <c r="A55" s="349">
        <f>(DATE(YEAR(A54)+1,9,1)+(1-1)*7)+2-WEEKDAY(DATE(YEAR(A54)+1,9,1),1)+IF(2&lt;WEEKDAY(DATE(YEAR(A54)+1,9,1),1),7,0)</f>
        <v>44809</v>
      </c>
      <c r="B55" s="350" t="s">
        <v>887</v>
      </c>
      <c r="C55" s="351" t="s">
        <v>885</v>
      </c>
    </row>
    <row r="56" spans="1:3" x14ac:dyDescent="0.2">
      <c r="A56" s="349">
        <f t="shared" ref="A56:A63" si="2">(DATE(YEAR(A55)+1,9,1)+(1-1)*7)+2-WEEKDAY(DATE(YEAR(A55)+1,9,1),1)+IF(2&lt;WEEKDAY(DATE(YEAR(A55)+1,9,1),1),7,0)</f>
        <v>45173</v>
      </c>
      <c r="B56" s="350" t="s">
        <v>887</v>
      </c>
      <c r="C56" s="351" t="s">
        <v>885</v>
      </c>
    </row>
    <row r="57" spans="1:3" x14ac:dyDescent="0.2">
      <c r="A57" s="349">
        <f t="shared" si="2"/>
        <v>45537</v>
      </c>
      <c r="B57" s="350" t="s">
        <v>887</v>
      </c>
      <c r="C57" s="351" t="s">
        <v>885</v>
      </c>
    </row>
    <row r="58" spans="1:3" x14ac:dyDescent="0.2">
      <c r="A58" s="349">
        <f t="shared" si="2"/>
        <v>45901</v>
      </c>
      <c r="B58" s="350" t="s">
        <v>887</v>
      </c>
      <c r="C58" s="351" t="s">
        <v>885</v>
      </c>
    </row>
    <row r="59" spans="1:3" x14ac:dyDescent="0.2">
      <c r="A59" s="349">
        <f t="shared" si="2"/>
        <v>46272</v>
      </c>
      <c r="B59" s="350" t="s">
        <v>887</v>
      </c>
      <c r="C59" s="351" t="s">
        <v>885</v>
      </c>
    </row>
    <row r="60" spans="1:3" x14ac:dyDescent="0.2">
      <c r="A60" s="349">
        <f t="shared" si="2"/>
        <v>46636</v>
      </c>
      <c r="B60" s="350" t="s">
        <v>887</v>
      </c>
      <c r="C60" s="351" t="s">
        <v>885</v>
      </c>
    </row>
    <row r="61" spans="1:3" x14ac:dyDescent="0.2">
      <c r="A61" s="349">
        <f t="shared" si="2"/>
        <v>47000</v>
      </c>
      <c r="B61" s="350" t="s">
        <v>887</v>
      </c>
      <c r="C61" s="351" t="s">
        <v>885</v>
      </c>
    </row>
    <row r="62" spans="1:3" x14ac:dyDescent="0.2">
      <c r="A62" s="349">
        <f t="shared" si="2"/>
        <v>47364</v>
      </c>
      <c r="B62" s="350" t="s">
        <v>887</v>
      </c>
      <c r="C62" s="351" t="s">
        <v>885</v>
      </c>
    </row>
    <row r="63" spans="1:3" x14ac:dyDescent="0.2">
      <c r="A63" s="349">
        <f t="shared" si="2"/>
        <v>47728</v>
      </c>
      <c r="B63" s="350" t="s">
        <v>887</v>
      </c>
      <c r="C63" s="351" t="s">
        <v>885</v>
      </c>
    </row>
    <row r="64" spans="1:3" x14ac:dyDescent="0.2">
      <c r="A64" s="349">
        <f>(DATE(2019+1,1,1)+(3-1)*7)+2-WEEKDAY(DATE(2019+1,1,1),1)+IF(2&lt;WEEKDAY(DATE(2019+1,1,1),1),7,0)</f>
        <v>43850</v>
      </c>
      <c r="B64" s="350" t="s">
        <v>888</v>
      </c>
      <c r="C64" s="351" t="s">
        <v>885</v>
      </c>
    </row>
    <row r="65" spans="1:3" x14ac:dyDescent="0.2">
      <c r="A65" s="349">
        <f t="shared" ref="A65:A74" si="3">(DATE(YEAR(A64)+1,1,1)+(3-1)*7)+2-WEEKDAY(DATE(YEAR(A64)+1,1,1),1)+IF(2&lt;WEEKDAY(DATE(YEAR(A64)+1,1,1),1),7,0)</f>
        <v>44214</v>
      </c>
      <c r="B65" s="350" t="s">
        <v>888</v>
      </c>
      <c r="C65" s="351" t="s">
        <v>885</v>
      </c>
    </row>
    <row r="66" spans="1:3" x14ac:dyDescent="0.2">
      <c r="A66" s="349">
        <f t="shared" si="3"/>
        <v>44578</v>
      </c>
      <c r="B66" s="350" t="s">
        <v>888</v>
      </c>
      <c r="C66" s="351" t="s">
        <v>885</v>
      </c>
    </row>
    <row r="67" spans="1:3" x14ac:dyDescent="0.2">
      <c r="A67" s="349">
        <f t="shared" si="3"/>
        <v>44942</v>
      </c>
      <c r="B67" s="350" t="s">
        <v>888</v>
      </c>
      <c r="C67" s="351" t="s">
        <v>885</v>
      </c>
    </row>
    <row r="68" spans="1:3" x14ac:dyDescent="0.2">
      <c r="A68" s="349">
        <f t="shared" si="3"/>
        <v>45306</v>
      </c>
      <c r="B68" s="350" t="s">
        <v>888</v>
      </c>
      <c r="C68" s="351" t="s">
        <v>885</v>
      </c>
    </row>
    <row r="69" spans="1:3" x14ac:dyDescent="0.2">
      <c r="A69" s="349">
        <f t="shared" si="3"/>
        <v>45677</v>
      </c>
      <c r="B69" s="350" t="s">
        <v>888</v>
      </c>
      <c r="C69" s="351" t="s">
        <v>885</v>
      </c>
    </row>
    <row r="70" spans="1:3" x14ac:dyDescent="0.2">
      <c r="A70" s="349">
        <f t="shared" si="3"/>
        <v>46041</v>
      </c>
      <c r="B70" s="350" t="s">
        <v>888</v>
      </c>
      <c r="C70" s="351" t="s">
        <v>885</v>
      </c>
    </row>
    <row r="71" spans="1:3" x14ac:dyDescent="0.2">
      <c r="A71" s="349">
        <f t="shared" si="3"/>
        <v>46405</v>
      </c>
      <c r="B71" s="350" t="s">
        <v>888</v>
      </c>
      <c r="C71" s="351" t="s">
        <v>885</v>
      </c>
    </row>
    <row r="72" spans="1:3" x14ac:dyDescent="0.2">
      <c r="A72" s="349">
        <f t="shared" si="3"/>
        <v>46769</v>
      </c>
      <c r="B72" s="350" t="s">
        <v>888</v>
      </c>
      <c r="C72" s="351" t="s">
        <v>885</v>
      </c>
    </row>
    <row r="73" spans="1:3" x14ac:dyDescent="0.2">
      <c r="A73" s="349">
        <f t="shared" si="3"/>
        <v>47133</v>
      </c>
      <c r="B73" s="350" t="s">
        <v>888</v>
      </c>
      <c r="C73" s="351" t="s">
        <v>885</v>
      </c>
    </row>
    <row r="74" spans="1:3" x14ac:dyDescent="0.2">
      <c r="A74" s="349">
        <f t="shared" si="3"/>
        <v>47504</v>
      </c>
      <c r="B74" s="350" t="s">
        <v>888</v>
      </c>
      <c r="C74" s="351" t="s">
        <v>885</v>
      </c>
    </row>
    <row r="75" spans="1:3" x14ac:dyDescent="0.2">
      <c r="A75" s="349">
        <f>(DATE(2019+1,6,1)+(0-1)*7)+2-WEEKDAY(DATE(2019+1,6,1),1)+IF(2&lt;WEEKDAY(DATE(2019+1,6,1),1),7,0)</f>
        <v>43976</v>
      </c>
      <c r="B75" s="350" t="s">
        <v>889</v>
      </c>
      <c r="C75" s="351" t="s">
        <v>885</v>
      </c>
    </row>
    <row r="76" spans="1:3" x14ac:dyDescent="0.2">
      <c r="A76" s="349">
        <f>(DATE(YEAR(A75)+1,6,1)+(0-1)*7)+2-WEEKDAY(DATE(YEAR(A75)+1,6,1),1)+IF(2&lt;WEEKDAY(DATE(YEAR(A75)+1,6,1),1),7,0)</f>
        <v>44347</v>
      </c>
      <c r="B76" s="350" t="s">
        <v>889</v>
      </c>
      <c r="C76" s="351" t="s">
        <v>885</v>
      </c>
    </row>
    <row r="77" spans="1:3" x14ac:dyDescent="0.2">
      <c r="A77" s="349">
        <f t="shared" ref="A77:A85" si="4">(DATE(YEAR(A76)+1,6,1)+(0-1)*7)+2-WEEKDAY(DATE(YEAR(A76)+1,6,1),1)+IF(2&lt;WEEKDAY(DATE(YEAR(A76)+1,6,1),1),7,0)</f>
        <v>44711</v>
      </c>
      <c r="B77" s="350" t="s">
        <v>889</v>
      </c>
      <c r="C77" s="351" t="s">
        <v>885</v>
      </c>
    </row>
    <row r="78" spans="1:3" x14ac:dyDescent="0.2">
      <c r="A78" s="349">
        <f t="shared" si="4"/>
        <v>45075</v>
      </c>
      <c r="B78" s="350" t="s">
        <v>889</v>
      </c>
      <c r="C78" s="351" t="s">
        <v>885</v>
      </c>
    </row>
    <row r="79" spans="1:3" x14ac:dyDescent="0.2">
      <c r="A79" s="349">
        <f t="shared" si="4"/>
        <v>45439</v>
      </c>
      <c r="B79" s="350" t="s">
        <v>889</v>
      </c>
      <c r="C79" s="351" t="s">
        <v>885</v>
      </c>
    </row>
    <row r="80" spans="1:3" x14ac:dyDescent="0.2">
      <c r="A80" s="349">
        <f t="shared" si="4"/>
        <v>45803</v>
      </c>
      <c r="B80" s="350" t="s">
        <v>889</v>
      </c>
      <c r="C80" s="351" t="s">
        <v>885</v>
      </c>
    </row>
    <row r="81" spans="1:3" x14ac:dyDescent="0.2">
      <c r="A81" s="349">
        <f t="shared" si="4"/>
        <v>46167</v>
      </c>
      <c r="B81" s="350" t="s">
        <v>889</v>
      </c>
      <c r="C81" s="351" t="s">
        <v>885</v>
      </c>
    </row>
    <row r="82" spans="1:3" x14ac:dyDescent="0.2">
      <c r="A82" s="349">
        <f t="shared" si="4"/>
        <v>46538</v>
      </c>
      <c r="B82" s="350" t="s">
        <v>889</v>
      </c>
      <c r="C82" s="351" t="s">
        <v>885</v>
      </c>
    </row>
    <row r="83" spans="1:3" x14ac:dyDescent="0.2">
      <c r="A83" s="349">
        <f t="shared" si="4"/>
        <v>46902</v>
      </c>
      <c r="B83" s="350" t="s">
        <v>889</v>
      </c>
      <c r="C83" s="351" t="s">
        <v>885</v>
      </c>
    </row>
    <row r="84" spans="1:3" x14ac:dyDescent="0.2">
      <c r="A84" s="349">
        <f t="shared" si="4"/>
        <v>47266</v>
      </c>
      <c r="B84" s="350" t="s">
        <v>889</v>
      </c>
      <c r="C84" s="351" t="s">
        <v>885</v>
      </c>
    </row>
    <row r="85" spans="1:3" x14ac:dyDescent="0.2">
      <c r="A85" s="349">
        <f t="shared" si="4"/>
        <v>47630</v>
      </c>
      <c r="B85" s="350" t="s">
        <v>889</v>
      </c>
      <c r="C85" s="351" t="s">
        <v>885</v>
      </c>
    </row>
    <row r="86" spans="1:3" x14ac:dyDescent="0.2">
      <c r="A86" s="349">
        <f>(DATE(2019+1,2,1)+(3-1)*7)+2-WEEKDAY(DATE(2019+1,2,1),1)+IF(2&lt;WEEKDAY(DATE(2019+1,2,1),1),7,0)</f>
        <v>43878</v>
      </c>
      <c r="B86" s="350" t="s">
        <v>890</v>
      </c>
      <c r="C86" s="351" t="s">
        <v>885</v>
      </c>
    </row>
    <row r="87" spans="1:3" x14ac:dyDescent="0.2">
      <c r="A87" s="349">
        <f t="shared" ref="A87:A96" si="5">(DATE(YEAR(A86)+1,2,1)+(3-1)*7)+2-WEEKDAY(DATE(YEAR(A86)+1,2,1),1)+IF(2&lt;WEEKDAY(DATE(YEAR(A86)+1,2,1),1),7,0)</f>
        <v>44242</v>
      </c>
      <c r="B87" s="350" t="s">
        <v>890</v>
      </c>
      <c r="C87" s="351" t="s">
        <v>885</v>
      </c>
    </row>
    <row r="88" spans="1:3" x14ac:dyDescent="0.2">
      <c r="A88" s="349">
        <f t="shared" si="5"/>
        <v>44613</v>
      </c>
      <c r="B88" s="350" t="s">
        <v>890</v>
      </c>
      <c r="C88" s="351" t="s">
        <v>885</v>
      </c>
    </row>
    <row r="89" spans="1:3" x14ac:dyDescent="0.2">
      <c r="A89" s="349">
        <f t="shared" si="5"/>
        <v>44977</v>
      </c>
      <c r="B89" s="350" t="s">
        <v>890</v>
      </c>
      <c r="C89" s="351" t="s">
        <v>885</v>
      </c>
    </row>
    <row r="90" spans="1:3" x14ac:dyDescent="0.2">
      <c r="A90" s="349">
        <f t="shared" si="5"/>
        <v>45341</v>
      </c>
      <c r="B90" s="350" t="s">
        <v>890</v>
      </c>
      <c r="C90" s="351" t="s">
        <v>885</v>
      </c>
    </row>
    <row r="91" spans="1:3" x14ac:dyDescent="0.2">
      <c r="A91" s="349">
        <f t="shared" si="5"/>
        <v>45705</v>
      </c>
      <c r="B91" s="350" t="s">
        <v>890</v>
      </c>
      <c r="C91" s="351" t="s">
        <v>885</v>
      </c>
    </row>
    <row r="92" spans="1:3" x14ac:dyDescent="0.2">
      <c r="A92" s="349">
        <f t="shared" si="5"/>
        <v>46069</v>
      </c>
      <c r="B92" s="350" t="s">
        <v>890</v>
      </c>
      <c r="C92" s="351" t="s">
        <v>885</v>
      </c>
    </row>
    <row r="93" spans="1:3" x14ac:dyDescent="0.2">
      <c r="A93" s="349">
        <f t="shared" si="5"/>
        <v>46433</v>
      </c>
      <c r="B93" s="350" t="s">
        <v>890</v>
      </c>
      <c r="C93" s="351" t="s">
        <v>885</v>
      </c>
    </row>
    <row r="94" spans="1:3" x14ac:dyDescent="0.2">
      <c r="A94" s="349">
        <f t="shared" si="5"/>
        <v>46804</v>
      </c>
      <c r="B94" s="350" t="s">
        <v>890</v>
      </c>
      <c r="C94" s="351" t="s">
        <v>885</v>
      </c>
    </row>
    <row r="95" spans="1:3" x14ac:dyDescent="0.2">
      <c r="A95" s="349">
        <f t="shared" si="5"/>
        <v>47168</v>
      </c>
      <c r="B95" s="350" t="s">
        <v>890</v>
      </c>
      <c r="C95" s="351" t="s">
        <v>885</v>
      </c>
    </row>
    <row r="96" spans="1:3" x14ac:dyDescent="0.2">
      <c r="A96" s="349">
        <f t="shared" si="5"/>
        <v>47532</v>
      </c>
      <c r="B96" s="350" t="s">
        <v>890</v>
      </c>
      <c r="C96" s="351" t="s">
        <v>885</v>
      </c>
    </row>
    <row r="97" spans="1:3" x14ac:dyDescent="0.2">
      <c r="A97" s="349">
        <f>(DATE(2019+1,11,1)+(4-1)*7)+5-WEEKDAY(DATE(2019+1,11,1),1)+IF(5&lt;WEEKDAY(DATE(2019+1,11,1),1),7,0)</f>
        <v>44161</v>
      </c>
      <c r="B97" s="350" t="s">
        <v>891</v>
      </c>
      <c r="C97" s="351" t="s">
        <v>885</v>
      </c>
    </row>
    <row r="98" spans="1:3" x14ac:dyDescent="0.2">
      <c r="A98" s="349">
        <f t="shared" ref="A98:A107" si="6">(DATE(YEAR(A97)+1,11,1)+(4-1)*7)+5-WEEKDAY(DATE(YEAR(A97)+1,11,1),1)+IF(5&lt;WEEKDAY(DATE(YEAR(A97)+1,11,1),1),7,0)</f>
        <v>44525</v>
      </c>
      <c r="B98" s="350" t="s">
        <v>891</v>
      </c>
      <c r="C98" s="351" t="s">
        <v>885</v>
      </c>
    </row>
    <row r="99" spans="1:3" x14ac:dyDescent="0.2">
      <c r="A99" s="349">
        <f t="shared" si="6"/>
        <v>44889</v>
      </c>
      <c r="B99" s="350" t="s">
        <v>891</v>
      </c>
      <c r="C99" s="351" t="s">
        <v>885</v>
      </c>
    </row>
    <row r="100" spans="1:3" x14ac:dyDescent="0.2">
      <c r="A100" s="349">
        <f t="shared" si="6"/>
        <v>45253</v>
      </c>
      <c r="B100" s="350" t="s">
        <v>891</v>
      </c>
      <c r="C100" s="351" t="s">
        <v>885</v>
      </c>
    </row>
    <row r="101" spans="1:3" x14ac:dyDescent="0.2">
      <c r="A101" s="349">
        <f t="shared" si="6"/>
        <v>45624</v>
      </c>
      <c r="B101" s="350" t="s">
        <v>891</v>
      </c>
      <c r="C101" s="351" t="s">
        <v>885</v>
      </c>
    </row>
    <row r="102" spans="1:3" x14ac:dyDescent="0.2">
      <c r="A102" s="349">
        <f t="shared" si="6"/>
        <v>45988</v>
      </c>
      <c r="B102" s="350" t="s">
        <v>891</v>
      </c>
      <c r="C102" s="351" t="s">
        <v>885</v>
      </c>
    </row>
    <row r="103" spans="1:3" x14ac:dyDescent="0.2">
      <c r="A103" s="349">
        <f t="shared" si="6"/>
        <v>46352</v>
      </c>
      <c r="B103" s="350" t="s">
        <v>891</v>
      </c>
      <c r="C103" s="351" t="s">
        <v>885</v>
      </c>
    </row>
    <row r="104" spans="1:3" x14ac:dyDescent="0.2">
      <c r="A104" s="349">
        <f t="shared" si="6"/>
        <v>46716</v>
      </c>
      <c r="B104" s="350" t="s">
        <v>891</v>
      </c>
      <c r="C104" s="351" t="s">
        <v>885</v>
      </c>
    </row>
    <row r="105" spans="1:3" x14ac:dyDescent="0.2">
      <c r="A105" s="349">
        <f t="shared" si="6"/>
        <v>47080</v>
      </c>
      <c r="B105" s="350" t="s">
        <v>891</v>
      </c>
      <c r="C105" s="351" t="s">
        <v>885</v>
      </c>
    </row>
    <row r="106" spans="1:3" x14ac:dyDescent="0.2">
      <c r="A106" s="349">
        <f t="shared" si="6"/>
        <v>47444</v>
      </c>
      <c r="B106" s="350" t="s">
        <v>891</v>
      </c>
      <c r="C106" s="351" t="s">
        <v>885</v>
      </c>
    </row>
    <row r="107" spans="1:3" x14ac:dyDescent="0.2">
      <c r="A107" s="349">
        <f t="shared" si="6"/>
        <v>47815</v>
      </c>
      <c r="B107" s="350" t="s">
        <v>891</v>
      </c>
      <c r="C107" s="351" t="s">
        <v>885</v>
      </c>
    </row>
    <row r="108" spans="1:3" x14ac:dyDescent="0.2">
      <c r="A108" s="349">
        <v>44146</v>
      </c>
      <c r="B108" s="350" t="s">
        <v>892</v>
      </c>
      <c r="C108" s="351" t="s">
        <v>885</v>
      </c>
    </row>
    <row r="109" spans="1:3" x14ac:dyDescent="0.2">
      <c r="A109" s="349">
        <v>44511</v>
      </c>
      <c r="B109" s="350" t="s">
        <v>892</v>
      </c>
      <c r="C109" s="351" t="s">
        <v>885</v>
      </c>
    </row>
    <row r="110" spans="1:3" x14ac:dyDescent="0.2">
      <c r="A110" s="349">
        <v>44876</v>
      </c>
      <c r="B110" s="350" t="s">
        <v>892</v>
      </c>
      <c r="C110" s="351" t="s">
        <v>885</v>
      </c>
    </row>
    <row r="111" spans="1:3" x14ac:dyDescent="0.2">
      <c r="A111" s="349">
        <v>45241</v>
      </c>
      <c r="B111" s="350" t="s">
        <v>892</v>
      </c>
      <c r="C111" s="351" t="s">
        <v>885</v>
      </c>
    </row>
    <row r="112" spans="1:3" x14ac:dyDescent="0.2">
      <c r="A112" s="349">
        <v>45607</v>
      </c>
      <c r="B112" s="350" t="s">
        <v>892</v>
      </c>
      <c r="C112" s="351" t="s">
        <v>885</v>
      </c>
    </row>
    <row r="113" spans="1:3" x14ac:dyDescent="0.2">
      <c r="A113" s="349">
        <v>45972</v>
      </c>
      <c r="B113" s="350" t="s">
        <v>892</v>
      </c>
      <c r="C113" s="351" t="s">
        <v>885</v>
      </c>
    </row>
    <row r="114" spans="1:3" x14ac:dyDescent="0.2">
      <c r="A114" s="349">
        <v>46337</v>
      </c>
      <c r="B114" s="350" t="s">
        <v>892</v>
      </c>
      <c r="C114" s="351" t="s">
        <v>885</v>
      </c>
    </row>
    <row r="115" spans="1:3" x14ac:dyDescent="0.2">
      <c r="A115" s="349">
        <v>46702</v>
      </c>
      <c r="B115" s="350" t="s">
        <v>892</v>
      </c>
      <c r="C115" s="351" t="s">
        <v>885</v>
      </c>
    </row>
    <row r="116" spans="1:3" x14ac:dyDescent="0.2">
      <c r="A116" s="349">
        <v>47068</v>
      </c>
      <c r="B116" s="350" t="s">
        <v>892</v>
      </c>
      <c r="C116" s="351" t="s">
        <v>885</v>
      </c>
    </row>
    <row r="117" spans="1:3" x14ac:dyDescent="0.2">
      <c r="A117" s="349">
        <v>47433</v>
      </c>
      <c r="B117" s="350" t="s">
        <v>892</v>
      </c>
      <c r="C117" s="351" t="s">
        <v>885</v>
      </c>
    </row>
    <row r="118" spans="1:3" x14ac:dyDescent="0.2">
      <c r="A118" s="349">
        <v>47798</v>
      </c>
      <c r="B118" s="350" t="s">
        <v>892</v>
      </c>
      <c r="C118" s="351" t="s">
        <v>885</v>
      </c>
    </row>
    <row r="119" spans="1:3" x14ac:dyDescent="0.2">
      <c r="A119" s="349">
        <v>44191</v>
      </c>
      <c r="B119" s="350" t="s">
        <v>893</v>
      </c>
      <c r="C119" s="351" t="s">
        <v>894</v>
      </c>
    </row>
    <row r="120" spans="1:3" x14ac:dyDescent="0.2">
      <c r="A120" s="349">
        <v>44556</v>
      </c>
      <c r="B120" s="350" t="s">
        <v>893</v>
      </c>
      <c r="C120" s="351" t="s">
        <v>894</v>
      </c>
    </row>
    <row r="121" spans="1:3" x14ac:dyDescent="0.2">
      <c r="A121" s="349">
        <v>44921</v>
      </c>
      <c r="B121" s="350" t="s">
        <v>893</v>
      </c>
      <c r="C121" s="351" t="s">
        <v>894</v>
      </c>
    </row>
    <row r="122" spans="1:3" x14ac:dyDescent="0.2">
      <c r="A122" s="349">
        <v>45286</v>
      </c>
      <c r="B122" s="350" t="s">
        <v>893</v>
      </c>
      <c r="C122" s="351" t="s">
        <v>894</v>
      </c>
    </row>
    <row r="123" spans="1:3" x14ac:dyDescent="0.2">
      <c r="A123" s="349">
        <v>45652</v>
      </c>
      <c r="B123" s="350" t="s">
        <v>893</v>
      </c>
      <c r="C123" s="351" t="s">
        <v>894</v>
      </c>
    </row>
    <row r="124" spans="1:3" x14ac:dyDescent="0.2">
      <c r="A124" s="349">
        <v>46017</v>
      </c>
      <c r="B124" s="350" t="s">
        <v>893</v>
      </c>
      <c r="C124" s="351" t="s">
        <v>894</v>
      </c>
    </row>
    <row r="125" spans="1:3" x14ac:dyDescent="0.2">
      <c r="A125" s="349">
        <v>46382</v>
      </c>
      <c r="B125" s="350" t="s">
        <v>893</v>
      </c>
      <c r="C125" s="351" t="s">
        <v>894</v>
      </c>
    </row>
    <row r="126" spans="1:3" x14ac:dyDescent="0.2">
      <c r="A126" s="349">
        <v>46747</v>
      </c>
      <c r="B126" s="350" t="s">
        <v>893</v>
      </c>
      <c r="C126" s="351" t="s">
        <v>894</v>
      </c>
    </row>
    <row r="127" spans="1:3" x14ac:dyDescent="0.2">
      <c r="A127" s="349">
        <v>47113</v>
      </c>
      <c r="B127" s="350" t="s">
        <v>893</v>
      </c>
      <c r="C127" s="351" t="s">
        <v>894</v>
      </c>
    </row>
    <row r="128" spans="1:3" x14ac:dyDescent="0.2">
      <c r="A128" s="349">
        <v>47478</v>
      </c>
      <c r="B128" s="350" t="s">
        <v>893</v>
      </c>
      <c r="C128" s="351" t="s">
        <v>894</v>
      </c>
    </row>
    <row r="129" spans="1:3" x14ac:dyDescent="0.2">
      <c r="A129" s="349">
        <v>47843</v>
      </c>
      <c r="B129" s="350" t="s">
        <v>893</v>
      </c>
      <c r="C129" s="351" t="s">
        <v>894</v>
      </c>
    </row>
    <row r="130" spans="1:3" x14ac:dyDescent="0.2">
      <c r="A130" s="349">
        <f>IF(AND(2019+1&gt;1900,2019+1&lt;2199),ROUND(DATE(2019+1,4,1)/7+MOD(19*MOD(2019+1,19)-7,30)*0.14,0)*7-6-2,"")</f>
        <v>43931</v>
      </c>
      <c r="B130" s="350" t="s">
        <v>895</v>
      </c>
      <c r="C130" s="351" t="s">
        <v>894</v>
      </c>
    </row>
    <row r="131" spans="1:3" x14ac:dyDescent="0.2">
      <c r="A131" s="349">
        <f t="shared" ref="A131:A140" si="7">IF(AND(YEAR(A130)+1&gt;1900,YEAR(A130)+1&lt;2199),ROUND(DATE(YEAR(A130)+1,4,1)/7+MOD(19*MOD(YEAR(A130)+1,19)-7,30)*0.14,0)*7-6-2,"")</f>
        <v>44288</v>
      </c>
      <c r="B131" s="350" t="s">
        <v>895</v>
      </c>
      <c r="C131" s="351" t="s">
        <v>894</v>
      </c>
    </row>
    <row r="132" spans="1:3" x14ac:dyDescent="0.2">
      <c r="A132" s="349">
        <f t="shared" si="7"/>
        <v>44666</v>
      </c>
      <c r="B132" s="350" t="s">
        <v>895</v>
      </c>
      <c r="C132" s="351" t="s">
        <v>894</v>
      </c>
    </row>
    <row r="133" spans="1:3" x14ac:dyDescent="0.2">
      <c r="A133" s="349">
        <f t="shared" si="7"/>
        <v>45023</v>
      </c>
      <c r="B133" s="350" t="s">
        <v>895</v>
      </c>
      <c r="C133" s="351" t="s">
        <v>894</v>
      </c>
    </row>
    <row r="134" spans="1:3" x14ac:dyDescent="0.2">
      <c r="A134" s="349">
        <f t="shared" si="7"/>
        <v>45380</v>
      </c>
      <c r="B134" s="350" t="s">
        <v>895</v>
      </c>
      <c r="C134" s="351" t="s">
        <v>894</v>
      </c>
    </row>
    <row r="135" spans="1:3" x14ac:dyDescent="0.2">
      <c r="A135" s="349">
        <f t="shared" si="7"/>
        <v>45765</v>
      </c>
      <c r="B135" s="350" t="s">
        <v>895</v>
      </c>
      <c r="C135" s="351" t="s">
        <v>894</v>
      </c>
    </row>
    <row r="136" spans="1:3" x14ac:dyDescent="0.2">
      <c r="A136" s="349">
        <f t="shared" si="7"/>
        <v>46115</v>
      </c>
      <c r="B136" s="350" t="s">
        <v>895</v>
      </c>
      <c r="C136" s="351" t="s">
        <v>894</v>
      </c>
    </row>
    <row r="137" spans="1:3" x14ac:dyDescent="0.2">
      <c r="A137" s="349">
        <f t="shared" si="7"/>
        <v>46472</v>
      </c>
      <c r="B137" s="350" t="s">
        <v>895</v>
      </c>
      <c r="C137" s="351" t="s">
        <v>894</v>
      </c>
    </row>
    <row r="138" spans="1:3" x14ac:dyDescent="0.2">
      <c r="A138" s="349">
        <f t="shared" si="7"/>
        <v>46857</v>
      </c>
      <c r="B138" s="350" t="s">
        <v>895</v>
      </c>
      <c r="C138" s="351" t="s">
        <v>894</v>
      </c>
    </row>
    <row r="139" spans="1:3" x14ac:dyDescent="0.2">
      <c r="A139" s="349">
        <f t="shared" si="7"/>
        <v>47207</v>
      </c>
      <c r="B139" s="350" t="s">
        <v>895</v>
      </c>
      <c r="C139" s="351" t="s">
        <v>894</v>
      </c>
    </row>
    <row r="140" spans="1:3" x14ac:dyDescent="0.2">
      <c r="A140" s="349">
        <f t="shared" si="7"/>
        <v>47592</v>
      </c>
      <c r="B140" s="350" t="s">
        <v>895</v>
      </c>
      <c r="C140" s="351" t="s">
        <v>894</v>
      </c>
    </row>
    <row r="141" spans="1:3" x14ac:dyDescent="0.2">
      <c r="A141" s="349">
        <f>IF(AND(2019+1&gt;1900,2019+1&lt;2199),ROUND(DATE(2019+1,4,1)/7+MOD(19*MOD(2019+1,19)-7,30)*0.14,0)*7-6+1,"")</f>
        <v>43934</v>
      </c>
      <c r="B141" s="350" t="s">
        <v>896</v>
      </c>
      <c r="C141" s="351" t="s">
        <v>894</v>
      </c>
    </row>
    <row r="142" spans="1:3" x14ac:dyDescent="0.2">
      <c r="A142" s="349">
        <f t="shared" ref="A142:A151" si="8">IF(AND(YEAR(A141)+1&gt;1900,YEAR(A141)+1&lt;2199),ROUND(DATE(YEAR(A141)+1,4,1)/7+MOD(19*MOD(YEAR(A141)+1,19)-7,30)*0.14,0)*7-6+1,"")</f>
        <v>44291</v>
      </c>
      <c r="B142" s="350" t="s">
        <v>896</v>
      </c>
      <c r="C142" s="351" t="s">
        <v>894</v>
      </c>
    </row>
    <row r="143" spans="1:3" x14ac:dyDescent="0.2">
      <c r="A143" s="349">
        <f t="shared" si="8"/>
        <v>44669</v>
      </c>
      <c r="B143" s="350" t="s">
        <v>896</v>
      </c>
      <c r="C143" s="351" t="s">
        <v>894</v>
      </c>
    </row>
    <row r="144" spans="1:3" x14ac:dyDescent="0.2">
      <c r="A144" s="349">
        <f t="shared" si="8"/>
        <v>45026</v>
      </c>
      <c r="B144" s="350" t="s">
        <v>896</v>
      </c>
      <c r="C144" s="351" t="s">
        <v>894</v>
      </c>
    </row>
    <row r="145" spans="1:3" x14ac:dyDescent="0.2">
      <c r="A145" s="349">
        <f t="shared" si="8"/>
        <v>45383</v>
      </c>
      <c r="B145" s="350" t="s">
        <v>896</v>
      </c>
      <c r="C145" s="351" t="s">
        <v>894</v>
      </c>
    </row>
    <row r="146" spans="1:3" x14ac:dyDescent="0.2">
      <c r="A146" s="349">
        <f t="shared" si="8"/>
        <v>45768</v>
      </c>
      <c r="B146" s="350" t="s">
        <v>896</v>
      </c>
      <c r="C146" s="351" t="s">
        <v>894</v>
      </c>
    </row>
    <row r="147" spans="1:3" x14ac:dyDescent="0.2">
      <c r="A147" s="349">
        <f t="shared" si="8"/>
        <v>46118</v>
      </c>
      <c r="B147" s="350" t="s">
        <v>896</v>
      </c>
      <c r="C147" s="351" t="s">
        <v>894</v>
      </c>
    </row>
    <row r="148" spans="1:3" x14ac:dyDescent="0.2">
      <c r="A148" s="349">
        <f t="shared" si="8"/>
        <v>46475</v>
      </c>
      <c r="B148" s="350" t="s">
        <v>896</v>
      </c>
      <c r="C148" s="351" t="s">
        <v>894</v>
      </c>
    </row>
    <row r="149" spans="1:3" x14ac:dyDescent="0.2">
      <c r="A149" s="349">
        <f t="shared" si="8"/>
        <v>46860</v>
      </c>
      <c r="B149" s="350" t="s">
        <v>896</v>
      </c>
      <c r="C149" s="351" t="s">
        <v>894</v>
      </c>
    </row>
    <row r="150" spans="1:3" x14ac:dyDescent="0.2">
      <c r="A150" s="349">
        <f t="shared" si="8"/>
        <v>47210</v>
      </c>
      <c r="B150" s="350" t="s">
        <v>896</v>
      </c>
      <c r="C150" s="351" t="s">
        <v>894</v>
      </c>
    </row>
    <row r="151" spans="1:3" x14ac:dyDescent="0.2">
      <c r="A151" s="349">
        <f t="shared" si="8"/>
        <v>47595</v>
      </c>
      <c r="B151" s="350" t="s">
        <v>896</v>
      </c>
      <c r="C151" s="351" t="s">
        <v>894</v>
      </c>
    </row>
    <row r="152" spans="1:3" x14ac:dyDescent="0.2">
      <c r="A152" s="349">
        <v>43955</v>
      </c>
      <c r="B152" s="350" t="s">
        <v>897</v>
      </c>
      <c r="C152" s="351" t="s">
        <v>894</v>
      </c>
    </row>
    <row r="153" spans="1:3" x14ac:dyDescent="0.2">
      <c r="A153" s="349">
        <v>44319</v>
      </c>
      <c r="B153" s="350" t="s">
        <v>897</v>
      </c>
      <c r="C153" s="351" t="s">
        <v>894</v>
      </c>
    </row>
    <row r="154" spans="1:3" x14ac:dyDescent="0.2">
      <c r="A154" s="349">
        <v>44683</v>
      </c>
      <c r="B154" s="350" t="s">
        <v>897</v>
      </c>
      <c r="C154" s="351" t="s">
        <v>894</v>
      </c>
    </row>
    <row r="155" spans="1:3" x14ac:dyDescent="0.2">
      <c r="A155" s="349">
        <v>45047</v>
      </c>
      <c r="B155" s="350" t="s">
        <v>897</v>
      </c>
      <c r="C155" s="351" t="s">
        <v>894</v>
      </c>
    </row>
    <row r="156" spans="1:3" x14ac:dyDescent="0.2">
      <c r="A156" s="349">
        <v>45418</v>
      </c>
      <c r="B156" s="350" t="s">
        <v>897</v>
      </c>
      <c r="C156" s="351" t="s">
        <v>894</v>
      </c>
    </row>
    <row r="157" spans="1:3" x14ac:dyDescent="0.2">
      <c r="A157" s="349">
        <v>45782</v>
      </c>
      <c r="B157" s="350" t="s">
        <v>897</v>
      </c>
      <c r="C157" s="351" t="s">
        <v>894</v>
      </c>
    </row>
    <row r="158" spans="1:3" x14ac:dyDescent="0.2">
      <c r="A158" s="349">
        <v>46146</v>
      </c>
      <c r="B158" s="350" t="s">
        <v>897</v>
      </c>
      <c r="C158" s="351" t="s">
        <v>894</v>
      </c>
    </row>
    <row r="159" spans="1:3" x14ac:dyDescent="0.2">
      <c r="A159" s="349">
        <v>46510</v>
      </c>
      <c r="B159" s="350" t="s">
        <v>897</v>
      </c>
      <c r="C159" s="351" t="s">
        <v>894</v>
      </c>
    </row>
    <row r="160" spans="1:3" x14ac:dyDescent="0.2">
      <c r="A160" s="349">
        <v>46874</v>
      </c>
      <c r="B160" s="350" t="s">
        <v>897</v>
      </c>
      <c r="C160" s="351" t="s">
        <v>894</v>
      </c>
    </row>
    <row r="161" spans="1:3" x14ac:dyDescent="0.2">
      <c r="A161" s="349">
        <v>47245</v>
      </c>
      <c r="B161" s="350" t="s">
        <v>897</v>
      </c>
      <c r="C161" s="351" t="s">
        <v>894</v>
      </c>
    </row>
    <row r="162" spans="1:3" x14ac:dyDescent="0.2">
      <c r="A162" s="349">
        <v>47609</v>
      </c>
      <c r="B162" s="350" t="s">
        <v>897</v>
      </c>
      <c r="C162" s="351" t="s">
        <v>894</v>
      </c>
    </row>
    <row r="163" spans="1:3" x14ac:dyDescent="0.2">
      <c r="A163" s="349">
        <v>43976</v>
      </c>
      <c r="B163" s="350" t="s">
        <v>898</v>
      </c>
      <c r="C163" s="351" t="s">
        <v>894</v>
      </c>
    </row>
    <row r="164" spans="1:3" x14ac:dyDescent="0.2">
      <c r="A164" s="349">
        <v>44347</v>
      </c>
      <c r="B164" s="350" t="s">
        <v>898</v>
      </c>
      <c r="C164" s="351" t="s">
        <v>894</v>
      </c>
    </row>
    <row r="165" spans="1:3" x14ac:dyDescent="0.2">
      <c r="A165" s="349">
        <v>44711</v>
      </c>
      <c r="B165" s="350" t="s">
        <v>898</v>
      </c>
      <c r="C165" s="351" t="s">
        <v>894</v>
      </c>
    </row>
    <row r="166" spans="1:3" x14ac:dyDescent="0.2">
      <c r="A166" s="349">
        <v>45075</v>
      </c>
      <c r="B166" s="350" t="s">
        <v>898</v>
      </c>
      <c r="C166" s="351" t="s">
        <v>894</v>
      </c>
    </row>
    <row r="167" spans="1:3" x14ac:dyDescent="0.2">
      <c r="A167" s="349">
        <v>45439</v>
      </c>
      <c r="B167" s="350" t="s">
        <v>898</v>
      </c>
      <c r="C167" s="351" t="s">
        <v>894</v>
      </c>
    </row>
    <row r="168" spans="1:3" x14ac:dyDescent="0.2">
      <c r="A168" s="349">
        <v>45803</v>
      </c>
      <c r="B168" s="350" t="s">
        <v>898</v>
      </c>
      <c r="C168" s="351" t="s">
        <v>894</v>
      </c>
    </row>
    <row r="169" spans="1:3" x14ac:dyDescent="0.2">
      <c r="A169" s="349">
        <v>46167</v>
      </c>
      <c r="B169" s="350" t="s">
        <v>898</v>
      </c>
      <c r="C169" s="351" t="s">
        <v>894</v>
      </c>
    </row>
    <row r="170" spans="1:3" x14ac:dyDescent="0.2">
      <c r="A170" s="349">
        <v>46538</v>
      </c>
      <c r="B170" s="350" t="s">
        <v>898</v>
      </c>
      <c r="C170" s="351" t="s">
        <v>894</v>
      </c>
    </row>
    <row r="171" spans="1:3" x14ac:dyDescent="0.2">
      <c r="A171" s="349">
        <v>46902</v>
      </c>
      <c r="B171" s="350" t="s">
        <v>898</v>
      </c>
      <c r="C171" s="351" t="s">
        <v>894</v>
      </c>
    </row>
    <row r="172" spans="1:3" x14ac:dyDescent="0.2">
      <c r="A172" s="349">
        <v>47266</v>
      </c>
      <c r="B172" s="350" t="s">
        <v>898</v>
      </c>
      <c r="C172" s="351" t="s">
        <v>894</v>
      </c>
    </row>
    <row r="173" spans="1:3" x14ac:dyDescent="0.2">
      <c r="A173" s="349">
        <v>47630</v>
      </c>
      <c r="B173" s="350" t="s">
        <v>898</v>
      </c>
      <c r="C173" s="351" t="s">
        <v>894</v>
      </c>
    </row>
    <row r="174" spans="1:3" x14ac:dyDescent="0.2">
      <c r="A174" s="349">
        <v>44046</v>
      </c>
      <c r="B174" s="350" t="s">
        <v>899</v>
      </c>
      <c r="C174" s="351" t="s">
        <v>894</v>
      </c>
    </row>
    <row r="175" spans="1:3" x14ac:dyDescent="0.2">
      <c r="A175" s="349">
        <v>44410</v>
      </c>
      <c r="B175" s="350" t="s">
        <v>899</v>
      </c>
      <c r="C175" s="351" t="s">
        <v>894</v>
      </c>
    </row>
    <row r="176" spans="1:3" x14ac:dyDescent="0.2">
      <c r="A176" s="349">
        <v>44774</v>
      </c>
      <c r="B176" s="350" t="s">
        <v>899</v>
      </c>
      <c r="C176" s="351" t="s">
        <v>894</v>
      </c>
    </row>
    <row r="177" spans="1:3" x14ac:dyDescent="0.2">
      <c r="A177" s="349">
        <v>45145</v>
      </c>
      <c r="B177" s="350" t="s">
        <v>899</v>
      </c>
      <c r="C177" s="351" t="s">
        <v>894</v>
      </c>
    </row>
    <row r="178" spans="1:3" x14ac:dyDescent="0.2">
      <c r="A178" s="349">
        <v>45509</v>
      </c>
      <c r="B178" s="350" t="s">
        <v>899</v>
      </c>
      <c r="C178" s="351" t="s">
        <v>894</v>
      </c>
    </row>
    <row r="179" spans="1:3" x14ac:dyDescent="0.2">
      <c r="A179" s="349">
        <v>45873</v>
      </c>
      <c r="B179" s="350" t="s">
        <v>899</v>
      </c>
      <c r="C179" s="351" t="s">
        <v>894</v>
      </c>
    </row>
    <row r="180" spans="1:3" x14ac:dyDescent="0.2">
      <c r="A180" s="349">
        <v>46237</v>
      </c>
      <c r="B180" s="350" t="s">
        <v>899</v>
      </c>
      <c r="C180" s="351" t="s">
        <v>894</v>
      </c>
    </row>
    <row r="181" spans="1:3" x14ac:dyDescent="0.2">
      <c r="A181" s="349">
        <v>46601</v>
      </c>
      <c r="B181" s="350" t="s">
        <v>899</v>
      </c>
      <c r="C181" s="351" t="s">
        <v>894</v>
      </c>
    </row>
    <row r="182" spans="1:3" x14ac:dyDescent="0.2">
      <c r="A182" s="349">
        <v>46972</v>
      </c>
      <c r="B182" s="350" t="s">
        <v>899</v>
      </c>
      <c r="C182" s="351" t="s">
        <v>894</v>
      </c>
    </row>
    <row r="183" spans="1:3" x14ac:dyDescent="0.2">
      <c r="A183" s="349">
        <v>47336</v>
      </c>
      <c r="B183" s="350" t="s">
        <v>899</v>
      </c>
      <c r="C183" s="351" t="s">
        <v>894</v>
      </c>
    </row>
    <row r="184" spans="1:3" x14ac:dyDescent="0.2">
      <c r="A184" s="349">
        <v>47700</v>
      </c>
      <c r="B184" s="350" t="s">
        <v>899</v>
      </c>
      <c r="C184" s="351" t="s">
        <v>894</v>
      </c>
    </row>
    <row r="185" spans="1:3" x14ac:dyDescent="0.2">
      <c r="A185" s="349">
        <v>44074</v>
      </c>
      <c r="B185" s="350" t="s">
        <v>900</v>
      </c>
      <c r="C185" s="351" t="s">
        <v>894</v>
      </c>
    </row>
    <row r="186" spans="1:3" x14ac:dyDescent="0.2">
      <c r="A186" s="349">
        <v>44438</v>
      </c>
      <c r="B186" s="350" t="s">
        <v>900</v>
      </c>
      <c r="C186" s="351" t="s">
        <v>894</v>
      </c>
    </row>
    <row r="187" spans="1:3" x14ac:dyDescent="0.2">
      <c r="A187" s="349">
        <v>44802</v>
      </c>
      <c r="B187" s="350" t="s">
        <v>900</v>
      </c>
      <c r="C187" s="351" t="s">
        <v>894</v>
      </c>
    </row>
    <row r="188" spans="1:3" x14ac:dyDescent="0.2">
      <c r="A188" s="349">
        <v>45166</v>
      </c>
      <c r="B188" s="350" t="s">
        <v>900</v>
      </c>
      <c r="C188" s="351" t="s">
        <v>894</v>
      </c>
    </row>
    <row r="189" spans="1:3" x14ac:dyDescent="0.2">
      <c r="A189" s="349">
        <v>45530</v>
      </c>
      <c r="B189" s="350" t="s">
        <v>900</v>
      </c>
      <c r="C189" s="351" t="s">
        <v>894</v>
      </c>
    </row>
    <row r="190" spans="1:3" x14ac:dyDescent="0.2">
      <c r="A190" s="349">
        <v>45894</v>
      </c>
      <c r="B190" s="350" t="s">
        <v>900</v>
      </c>
      <c r="C190" s="351" t="s">
        <v>894</v>
      </c>
    </row>
    <row r="191" spans="1:3" x14ac:dyDescent="0.2">
      <c r="A191" s="349">
        <v>46265</v>
      </c>
      <c r="B191" s="350" t="s">
        <v>900</v>
      </c>
      <c r="C191" s="351" t="s">
        <v>894</v>
      </c>
    </row>
    <row r="192" spans="1:3" x14ac:dyDescent="0.2">
      <c r="A192" s="349">
        <v>46629</v>
      </c>
      <c r="B192" s="350" t="s">
        <v>900</v>
      </c>
      <c r="C192" s="351" t="s">
        <v>894</v>
      </c>
    </row>
    <row r="193" spans="1:3" x14ac:dyDescent="0.2">
      <c r="A193" s="349">
        <v>46993</v>
      </c>
      <c r="B193" s="350" t="s">
        <v>900</v>
      </c>
      <c r="C193" s="351" t="s">
        <v>894</v>
      </c>
    </row>
    <row r="194" spans="1:3" x14ac:dyDescent="0.2">
      <c r="A194" s="349">
        <v>47357</v>
      </c>
      <c r="B194" s="350" t="s">
        <v>900</v>
      </c>
      <c r="C194" s="351" t="s">
        <v>894</v>
      </c>
    </row>
    <row r="195" spans="1:3" x14ac:dyDescent="0.2">
      <c r="A195" s="349">
        <v>47721</v>
      </c>
      <c r="B195" s="350" t="s">
        <v>900</v>
      </c>
      <c r="C195" s="351" t="s">
        <v>894</v>
      </c>
    </row>
    <row r="196" spans="1:3" x14ac:dyDescent="0.2">
      <c r="A196" s="349"/>
      <c r="B196" s="350"/>
      <c r="C196" s="351"/>
    </row>
    <row r="197" spans="1:3" x14ac:dyDescent="0.2">
      <c r="A197" s="349"/>
      <c r="B197" s="350"/>
      <c r="C197" s="351"/>
    </row>
    <row r="198" spans="1:3" x14ac:dyDescent="0.2">
      <c r="A198" s="349"/>
      <c r="B198" s="350"/>
      <c r="C198" s="351"/>
    </row>
    <row r="199" spans="1:3" x14ac:dyDescent="0.2">
      <c r="A199" s="349"/>
      <c r="B199" s="350"/>
      <c r="C199" s="351"/>
    </row>
    <row r="200" spans="1:3" x14ac:dyDescent="0.2">
      <c r="A200" s="349"/>
      <c r="B200" s="350"/>
      <c r="C200" s="351"/>
    </row>
    <row r="201" spans="1:3" x14ac:dyDescent="0.2">
      <c r="A201" s="349"/>
      <c r="B201" s="350"/>
      <c r="C201" s="351"/>
    </row>
    <row r="202" spans="1:3" x14ac:dyDescent="0.2">
      <c r="A202" s="349"/>
      <c r="B202" s="350"/>
      <c r="C202" s="351"/>
    </row>
    <row r="203" spans="1:3" x14ac:dyDescent="0.2">
      <c r="A203" s="349"/>
      <c r="B203" s="350"/>
      <c r="C203" s="351"/>
    </row>
    <row r="204" spans="1:3" x14ac:dyDescent="0.2">
      <c r="A204" s="349"/>
      <c r="B204" s="350"/>
      <c r="C204" s="351"/>
    </row>
    <row r="205" spans="1:3" x14ac:dyDescent="0.2">
      <c r="A205" s="349"/>
      <c r="B205" s="350"/>
      <c r="C205" s="351"/>
    </row>
    <row r="206" spans="1:3" x14ac:dyDescent="0.2">
      <c r="A206" s="349"/>
      <c r="B206" s="350"/>
      <c r="C206" s="351"/>
    </row>
    <row r="207" spans="1:3" x14ac:dyDescent="0.2">
      <c r="A207" s="349"/>
      <c r="B207" s="350"/>
      <c r="C207" s="351"/>
    </row>
    <row r="208" spans="1:3" x14ac:dyDescent="0.2">
      <c r="A208" s="349"/>
      <c r="B208" s="350"/>
      <c r="C208" s="351"/>
    </row>
    <row r="209" spans="1:3" x14ac:dyDescent="0.2">
      <c r="A209" s="352"/>
      <c r="B209" s="353" t="s">
        <v>901</v>
      </c>
      <c r="C209" s="354"/>
    </row>
  </sheetData>
  <sheetProtection algorithmName="SHA-512" hashValue="ubxWlk/pMhUVOhnSbZDwRlaMd6P7AKecfddIWGjhJAuVR/N8NbWfh0THZAs9AwQmcTUM5GhkybPefpETKukgsQ==" saltValue="JVyH26S2+mcVi0bIp2nDwA==" spinCount="100000" sheet="1" objects="1" scenarios="1" selectLockedCells="1" selectUnlockedCells="1"/>
  <pageMargins left="0.75" right="0.75" top="1" bottom="1" header="0.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AF3A2-CDBC-468C-8433-23F67B394263}">
  <sheetPr>
    <pageSetUpPr fitToPage="1"/>
  </sheetPr>
  <dimension ref="A1:E342"/>
  <sheetViews>
    <sheetView showGridLines="0" zoomScale="110" zoomScaleNormal="110" workbookViewId="0"/>
  </sheetViews>
  <sheetFormatPr defaultColWidth="8.85546875" defaultRowHeight="12.75" x14ac:dyDescent="0.2"/>
  <cols>
    <col min="1" max="1" width="5.5703125" style="430" customWidth="1"/>
    <col min="2" max="2" width="83.42578125" style="430" customWidth="1"/>
    <col min="3" max="3" width="17.5703125" style="430" customWidth="1"/>
    <col min="4" max="4" width="17.85546875" style="430" customWidth="1"/>
    <col min="5" max="5" width="5.5703125" style="430" customWidth="1"/>
    <col min="6" max="16384" width="8.85546875" style="430"/>
  </cols>
  <sheetData>
    <row r="1" spans="1:5" ht="30" customHeight="1" x14ac:dyDescent="0.2">
      <c r="A1" s="429" t="s">
        <v>928</v>
      </c>
      <c r="B1" s="429"/>
      <c r="C1" s="429"/>
      <c r="D1" s="429"/>
      <c r="E1" s="429"/>
    </row>
    <row r="2" spans="1:5" s="433" customFormat="1" ht="14.25" customHeight="1" x14ac:dyDescent="0.25">
      <c r="A2" s="431" t="s">
        <v>929</v>
      </c>
      <c r="B2" s="431"/>
      <c r="C2" s="431"/>
      <c r="D2" s="432" t="s">
        <v>930</v>
      </c>
      <c r="E2" s="431"/>
    </row>
    <row r="3" spans="1:5" s="437" customFormat="1" ht="18" x14ac:dyDescent="0.25">
      <c r="A3" s="434"/>
      <c r="B3" s="435" t="s">
        <v>931</v>
      </c>
      <c r="C3" s="434"/>
      <c r="D3" s="436"/>
      <c r="E3" s="434"/>
    </row>
    <row r="4" spans="1:5" s="437" customFormat="1" ht="18" x14ac:dyDescent="0.25">
      <c r="A4" s="434"/>
      <c r="B4" s="435" t="s">
        <v>932</v>
      </c>
      <c r="C4" s="434"/>
      <c r="D4" s="434"/>
      <c r="E4" s="434"/>
    </row>
    <row r="5" spans="1:5" s="437" customFormat="1" ht="18" x14ac:dyDescent="0.25">
      <c r="A5" s="434"/>
      <c r="B5" s="435" t="s">
        <v>933</v>
      </c>
      <c r="C5" s="434"/>
      <c r="D5" s="434"/>
      <c r="E5" s="434"/>
    </row>
    <row r="6" spans="1:5" s="437" customFormat="1" ht="18" x14ac:dyDescent="0.25">
      <c r="A6" s="434"/>
      <c r="B6" s="435" t="s">
        <v>934</v>
      </c>
      <c r="C6" s="434"/>
      <c r="D6" s="434"/>
      <c r="E6" s="434"/>
    </row>
    <row r="7" spans="1:5" s="437" customFormat="1" x14ac:dyDescent="0.2">
      <c r="A7" s="434"/>
      <c r="B7" s="438" t="s">
        <v>935</v>
      </c>
      <c r="C7" s="439" t="s">
        <v>936</v>
      </c>
      <c r="D7" s="440"/>
      <c r="E7" s="434"/>
    </row>
    <row r="8" spans="1:5" s="437" customFormat="1" x14ac:dyDescent="0.2"/>
    <row r="9" spans="1:5" s="437" customFormat="1" x14ac:dyDescent="0.2">
      <c r="A9" s="441"/>
      <c r="B9" s="441"/>
      <c r="C9" s="441"/>
      <c r="D9" s="441"/>
      <c r="E9" s="441"/>
    </row>
    <row r="10" spans="1:5" s="437" customFormat="1" ht="26.25" x14ac:dyDescent="0.4">
      <c r="A10" s="442"/>
      <c r="B10" s="443" t="s">
        <v>937</v>
      </c>
      <c r="C10" s="444" t="s">
        <v>938</v>
      </c>
      <c r="D10" s="441"/>
      <c r="E10" s="441"/>
    </row>
    <row r="11" spans="1:5" s="437" customFormat="1" x14ac:dyDescent="0.2">
      <c r="A11" s="441"/>
      <c r="B11" s="441"/>
      <c r="C11" s="441"/>
      <c r="D11" s="441"/>
      <c r="E11" s="441"/>
    </row>
    <row r="12" spans="1:5" s="437" customFormat="1" x14ac:dyDescent="0.2"/>
    <row r="13" spans="1:5" s="437" customFormat="1" ht="18" customHeight="1" x14ac:dyDescent="0.2">
      <c r="B13" s="445" t="s">
        <v>939</v>
      </c>
    </row>
    <row r="14" spans="1:5" s="437" customFormat="1" ht="38.25" x14ac:dyDescent="0.2">
      <c r="B14" s="446" t="s">
        <v>940</v>
      </c>
    </row>
    <row r="15" spans="1:5" s="437" customFormat="1" x14ac:dyDescent="0.2"/>
    <row r="16" spans="1:5" s="437" customFormat="1" x14ac:dyDescent="0.2">
      <c r="B16" s="447" t="s">
        <v>941</v>
      </c>
    </row>
    <row r="17" spans="2:3" s="437" customFormat="1" ht="18" customHeight="1" x14ac:dyDescent="0.2"/>
    <row r="18" spans="2:3" s="437" customFormat="1" ht="18" customHeight="1" x14ac:dyDescent="0.2">
      <c r="B18" s="445" t="s">
        <v>942</v>
      </c>
    </row>
    <row r="19" spans="2:3" s="437" customFormat="1" ht="18" customHeight="1" x14ac:dyDescent="0.2">
      <c r="B19" s="448" t="s">
        <v>943</v>
      </c>
    </row>
    <row r="20" spans="2:3" s="437" customFormat="1" ht="18" customHeight="1" x14ac:dyDescent="0.2">
      <c r="B20" s="448" t="s">
        <v>944</v>
      </c>
    </row>
    <row r="21" spans="2:3" s="437" customFormat="1" ht="28.5" customHeight="1" x14ac:dyDescent="0.2">
      <c r="B21" s="449" t="s">
        <v>945</v>
      </c>
    </row>
    <row r="22" spans="2:3" s="437" customFormat="1" ht="18" customHeight="1" x14ac:dyDescent="0.2"/>
    <row r="23" spans="2:3" s="437" customFormat="1" ht="18" customHeight="1" x14ac:dyDescent="0.2">
      <c r="B23" s="445" t="s">
        <v>946</v>
      </c>
    </row>
    <row r="24" spans="2:3" s="437" customFormat="1" ht="18" customHeight="1" x14ac:dyDescent="0.2">
      <c r="B24" s="448" t="s">
        <v>947</v>
      </c>
    </row>
    <row r="25" spans="2:3" s="437" customFormat="1" ht="18" customHeight="1" x14ac:dyDescent="0.2">
      <c r="B25" s="448" t="s">
        <v>948</v>
      </c>
    </row>
    <row r="26" spans="2:3" s="437" customFormat="1" ht="18" customHeight="1" x14ac:dyDescent="0.2">
      <c r="B26" s="448" t="s">
        <v>949</v>
      </c>
    </row>
    <row r="27" spans="2:3" s="437" customFormat="1" ht="18" customHeight="1" x14ac:dyDescent="0.2">
      <c r="B27" s="448" t="s">
        <v>950</v>
      </c>
      <c r="C27" s="450" t="s">
        <v>951</v>
      </c>
    </row>
    <row r="28" spans="2:3" s="437" customFormat="1" ht="18" customHeight="1" x14ac:dyDescent="0.2">
      <c r="B28" s="448" t="s">
        <v>952</v>
      </c>
    </row>
    <row r="29" spans="2:3" s="437" customFormat="1" ht="18" customHeight="1" x14ac:dyDescent="0.2">
      <c r="B29" s="448" t="s">
        <v>953</v>
      </c>
    </row>
    <row r="30" spans="2:3" s="437" customFormat="1" ht="18" customHeight="1" x14ac:dyDescent="0.2">
      <c r="B30" s="448" t="s">
        <v>954</v>
      </c>
    </row>
    <row r="31" spans="2:3" s="437" customFormat="1" ht="18" customHeight="1" x14ac:dyDescent="0.2"/>
    <row r="32" spans="2:3" s="437" customFormat="1" ht="18" customHeight="1" x14ac:dyDescent="0.2">
      <c r="B32" s="445" t="s">
        <v>955</v>
      </c>
    </row>
    <row r="33" spans="2:3" s="437" customFormat="1" ht="18" customHeight="1" x14ac:dyDescent="0.2">
      <c r="B33" s="448" t="s">
        <v>956</v>
      </c>
      <c r="C33" s="451" t="s">
        <v>957</v>
      </c>
    </row>
    <row r="34" spans="2:3" s="437" customFormat="1" ht="18" customHeight="1" x14ac:dyDescent="0.2">
      <c r="B34" s="448" t="s">
        <v>958</v>
      </c>
    </row>
    <row r="35" spans="2:3" s="437" customFormat="1" ht="18" customHeight="1" x14ac:dyDescent="0.2">
      <c r="B35" s="448" t="s">
        <v>959</v>
      </c>
    </row>
    <row r="36" spans="2:3" s="437" customFormat="1" ht="18" customHeight="1" x14ac:dyDescent="0.2">
      <c r="B36" s="448" t="s">
        <v>960</v>
      </c>
    </row>
    <row r="37" spans="2:3" s="437" customFormat="1" ht="18" customHeight="1" x14ac:dyDescent="0.2">
      <c r="B37" s="449" t="s">
        <v>961</v>
      </c>
    </row>
    <row r="38" spans="2:3" s="437" customFormat="1" ht="18" customHeight="1" x14ac:dyDescent="0.2">
      <c r="B38" s="448" t="s">
        <v>962</v>
      </c>
    </row>
    <row r="39" spans="2:3" s="437" customFormat="1" ht="18" customHeight="1" x14ac:dyDescent="0.2">
      <c r="B39" s="452" t="s">
        <v>963</v>
      </c>
    </row>
    <row r="40" spans="2:3" s="437" customFormat="1" ht="18" customHeight="1" x14ac:dyDescent="0.2">
      <c r="B40" s="448" t="s">
        <v>964</v>
      </c>
    </row>
    <row r="41" spans="2:3" s="437" customFormat="1" ht="18" customHeight="1" x14ac:dyDescent="0.2">
      <c r="B41" s="448" t="s">
        <v>965</v>
      </c>
    </row>
    <row r="42" spans="2:3" s="437" customFormat="1" ht="18" customHeight="1" x14ac:dyDescent="0.2">
      <c r="B42" s="448" t="s">
        <v>966</v>
      </c>
    </row>
    <row r="43" spans="2:3" s="437" customFormat="1" ht="25.5" x14ac:dyDescent="0.2">
      <c r="B43" s="449" t="s">
        <v>967</v>
      </c>
    </row>
    <row r="44" spans="2:3" s="437" customFormat="1" ht="18" customHeight="1" x14ac:dyDescent="0.2">
      <c r="B44" s="449" t="s">
        <v>968</v>
      </c>
    </row>
    <row r="45" spans="2:3" s="437" customFormat="1" ht="18" customHeight="1" x14ac:dyDescent="0.2">
      <c r="B45" s="448" t="s">
        <v>969</v>
      </c>
    </row>
    <row r="46" spans="2:3" s="437" customFormat="1" ht="18" customHeight="1" x14ac:dyDescent="0.2"/>
    <row r="47" spans="2:3" s="437" customFormat="1" ht="18" customHeight="1" x14ac:dyDescent="0.2">
      <c r="B47" s="445" t="s">
        <v>970</v>
      </c>
    </row>
    <row r="48" spans="2:3" s="454" customFormat="1" ht="18" customHeight="1" x14ac:dyDescent="0.25">
      <c r="B48" s="453" t="s">
        <v>971</v>
      </c>
    </row>
    <row r="49" spans="1:5" s="437" customFormat="1" ht="25.5" x14ac:dyDescent="0.2">
      <c r="B49" s="455" t="s">
        <v>972</v>
      </c>
    </row>
    <row r="50" spans="1:5" s="437" customFormat="1" ht="25.5" x14ac:dyDescent="0.2">
      <c r="B50" s="455" t="s">
        <v>973</v>
      </c>
    </row>
    <row r="51" spans="1:5" s="437" customFormat="1" ht="25.5" x14ac:dyDescent="0.2">
      <c r="B51" s="455" t="s">
        <v>974</v>
      </c>
    </row>
    <row r="52" spans="1:5" s="437" customFormat="1" x14ac:dyDescent="0.2">
      <c r="B52" s="456"/>
    </row>
    <row r="53" spans="1:5" s="437" customFormat="1" ht="18" customHeight="1" x14ac:dyDescent="0.2">
      <c r="B53" s="445" t="s">
        <v>975</v>
      </c>
    </row>
    <row r="54" spans="1:5" x14ac:dyDescent="0.2">
      <c r="B54" s="446" t="s">
        <v>976</v>
      </c>
    </row>
    <row r="55" spans="1:5" x14ac:dyDescent="0.2">
      <c r="B55" s="457" t="s">
        <v>977</v>
      </c>
    </row>
    <row r="56" spans="1:5" x14ac:dyDescent="0.2">
      <c r="B56" s="457" t="s">
        <v>978</v>
      </c>
    </row>
    <row r="57" spans="1:5" x14ac:dyDescent="0.2">
      <c r="B57" s="457" t="s">
        <v>979</v>
      </c>
    </row>
    <row r="58" spans="1:5" x14ac:dyDescent="0.2">
      <c r="B58" s="457" t="s">
        <v>980</v>
      </c>
    </row>
    <row r="59" spans="1:5" x14ac:dyDescent="0.2">
      <c r="B59" s="457" t="s">
        <v>981</v>
      </c>
    </row>
    <row r="60" spans="1:5" x14ac:dyDescent="0.2">
      <c r="B60" s="457" t="s">
        <v>982</v>
      </c>
    </row>
    <row r="61" spans="1:5" x14ac:dyDescent="0.2">
      <c r="B61" s="457" t="s">
        <v>983</v>
      </c>
    </row>
    <row r="62" spans="1:5" x14ac:dyDescent="0.2">
      <c r="B62" s="457" t="s">
        <v>984</v>
      </c>
    </row>
    <row r="63" spans="1:5" s="437" customFormat="1" x14ac:dyDescent="0.2"/>
    <row r="64" spans="1:5" ht="14.25" x14ac:dyDescent="0.2">
      <c r="A64" s="458"/>
      <c r="B64" s="459"/>
      <c r="C64" s="460"/>
      <c r="D64" s="461"/>
      <c r="E64" s="458"/>
    </row>
    <row r="65" spans="1:5" ht="26.25" x14ac:dyDescent="0.2">
      <c r="A65" s="462"/>
      <c r="B65" s="463" t="s">
        <v>985</v>
      </c>
      <c r="C65" s="444" t="s">
        <v>938</v>
      </c>
      <c r="D65" s="458"/>
      <c r="E65" s="458"/>
    </row>
    <row r="66" spans="1:5" ht="15.75" x14ac:dyDescent="0.2">
      <c r="A66" s="464"/>
      <c r="B66" s="464"/>
      <c r="C66" s="612"/>
      <c r="D66" s="612"/>
      <c r="E66" s="458"/>
    </row>
    <row r="67" spans="1:5" ht="15.75" x14ac:dyDescent="0.2">
      <c r="A67" s="465"/>
      <c r="B67" s="465"/>
      <c r="C67" s="466"/>
      <c r="D67" s="466"/>
      <c r="E67" s="467"/>
    </row>
    <row r="68" spans="1:5" ht="15.75" x14ac:dyDescent="0.2">
      <c r="A68" s="465"/>
      <c r="B68" s="465"/>
      <c r="C68" s="466"/>
      <c r="D68" s="466"/>
      <c r="E68" s="467"/>
    </row>
    <row r="69" spans="1:5" ht="18" x14ac:dyDescent="0.25">
      <c r="A69" s="465"/>
      <c r="B69" s="468" t="s">
        <v>986</v>
      </c>
      <c r="E69" s="467"/>
    </row>
    <row r="70" spans="1:5" ht="16.5" thickBot="1" x14ac:dyDescent="0.3">
      <c r="A70" s="465"/>
      <c r="B70" s="469" t="s">
        <v>987</v>
      </c>
      <c r="C70" s="470" t="s">
        <v>988</v>
      </c>
      <c r="D70" s="470" t="s">
        <v>989</v>
      </c>
      <c r="E70" s="467"/>
    </row>
    <row r="71" spans="1:5" ht="15.75" thickTop="1" x14ac:dyDescent="0.2">
      <c r="A71" s="465"/>
      <c r="B71" s="457" t="s">
        <v>990</v>
      </c>
      <c r="C71" s="471" t="s">
        <v>991</v>
      </c>
      <c r="D71" s="472" t="s">
        <v>992</v>
      </c>
      <c r="E71" s="467"/>
    </row>
    <row r="72" spans="1:5" ht="15" x14ac:dyDescent="0.2">
      <c r="A72" s="465"/>
      <c r="B72" s="457" t="s">
        <v>993</v>
      </c>
      <c r="C72" s="473" t="s">
        <v>866</v>
      </c>
      <c r="D72" s="472" t="s">
        <v>994</v>
      </c>
      <c r="E72" s="467"/>
    </row>
    <row r="73" spans="1:5" ht="15" x14ac:dyDescent="0.2">
      <c r="A73" s="465"/>
      <c r="B73" s="457" t="s">
        <v>995</v>
      </c>
      <c r="C73" s="474" t="s">
        <v>996</v>
      </c>
      <c r="D73" s="472" t="s">
        <v>997</v>
      </c>
      <c r="E73" s="467"/>
    </row>
    <row r="74" spans="1:5" ht="15" x14ac:dyDescent="0.2">
      <c r="A74" s="465"/>
      <c r="B74" s="457"/>
      <c r="C74" s="474">
        <v>3</v>
      </c>
      <c r="D74" s="475" t="s">
        <v>998</v>
      </c>
      <c r="E74" s="467"/>
    </row>
    <row r="75" spans="1:5" ht="15" x14ac:dyDescent="0.2">
      <c r="A75" s="465"/>
      <c r="B75" s="457" t="s">
        <v>999</v>
      </c>
      <c r="C75" s="474">
        <v>2</v>
      </c>
      <c r="D75" s="475" t="s">
        <v>1000</v>
      </c>
      <c r="E75" s="467"/>
    </row>
    <row r="76" spans="1:5" ht="15" x14ac:dyDescent="0.2">
      <c r="A76" s="465"/>
      <c r="B76" s="457" t="s">
        <v>1001</v>
      </c>
      <c r="C76" s="474">
        <v>1</v>
      </c>
      <c r="D76" s="475" t="s">
        <v>1002</v>
      </c>
      <c r="E76" s="467"/>
    </row>
    <row r="77" spans="1:5" ht="15.75" thickBot="1" x14ac:dyDescent="0.25">
      <c r="A77" s="465"/>
      <c r="B77" s="457"/>
      <c r="C77" s="476">
        <v>0</v>
      </c>
      <c r="D77" s="475" t="s">
        <v>1003</v>
      </c>
      <c r="E77" s="467"/>
    </row>
    <row r="78" spans="1:5" ht="13.5" thickTop="1" x14ac:dyDescent="0.2">
      <c r="A78" s="465"/>
      <c r="B78" s="457"/>
      <c r="E78" s="467"/>
    </row>
    <row r="79" spans="1:5" ht="15.75" x14ac:dyDescent="0.2">
      <c r="A79" s="465"/>
      <c r="B79" s="465"/>
      <c r="C79" s="466"/>
      <c r="D79" s="466"/>
      <c r="E79" s="467"/>
    </row>
    <row r="80" spans="1:5" ht="18" x14ac:dyDescent="0.25">
      <c r="A80" s="477"/>
      <c r="B80" s="468" t="s">
        <v>1004</v>
      </c>
      <c r="E80" s="467"/>
    </row>
    <row r="81" spans="1:5" ht="18" customHeight="1" thickBot="1" x14ac:dyDescent="0.3">
      <c r="A81" s="477"/>
      <c r="C81" s="470" t="s">
        <v>1005</v>
      </c>
      <c r="E81" s="467"/>
    </row>
    <row r="82" spans="1:5" ht="16.5" thickTop="1" thickBot="1" x14ac:dyDescent="0.25">
      <c r="A82" s="477"/>
      <c r="B82" s="478" t="s">
        <v>1006</v>
      </c>
      <c r="C82" s="479" t="s">
        <v>1007</v>
      </c>
      <c r="E82" s="467"/>
    </row>
    <row r="83" spans="1:5" ht="13.5" thickTop="1" x14ac:dyDescent="0.2">
      <c r="A83" s="477"/>
      <c r="E83" s="467"/>
    </row>
    <row r="84" spans="1:5" x14ac:dyDescent="0.2">
      <c r="A84" s="477"/>
      <c r="B84" s="457" t="s">
        <v>1008</v>
      </c>
      <c r="C84" s="480" t="s">
        <v>1009</v>
      </c>
      <c r="D84" s="481" t="s">
        <v>1010</v>
      </c>
      <c r="E84" s="467"/>
    </row>
    <row r="85" spans="1:5" x14ac:dyDescent="0.2">
      <c r="A85" s="477"/>
      <c r="B85" s="457" t="s">
        <v>1011</v>
      </c>
      <c r="C85" s="482">
        <v>1</v>
      </c>
      <c r="D85" s="483" t="s">
        <v>1012</v>
      </c>
      <c r="E85" s="467"/>
    </row>
    <row r="86" spans="1:5" x14ac:dyDescent="0.2">
      <c r="A86" s="477"/>
      <c r="B86" s="457"/>
      <c r="C86" s="482">
        <v>2</v>
      </c>
      <c r="D86" s="483" t="s">
        <v>1013</v>
      </c>
      <c r="E86" s="467"/>
    </row>
    <row r="87" spans="1:5" x14ac:dyDescent="0.2">
      <c r="A87" s="477"/>
      <c r="B87" s="457" t="s">
        <v>1014</v>
      </c>
      <c r="C87" s="482">
        <v>3</v>
      </c>
      <c r="D87" s="483" t="s">
        <v>1015</v>
      </c>
      <c r="E87" s="467"/>
    </row>
    <row r="88" spans="1:5" x14ac:dyDescent="0.2">
      <c r="A88" s="477"/>
      <c r="B88" s="457"/>
      <c r="C88" s="482">
        <v>4</v>
      </c>
      <c r="D88" s="483" t="s">
        <v>1016</v>
      </c>
      <c r="E88" s="467"/>
    </row>
    <row r="89" spans="1:5" x14ac:dyDescent="0.2">
      <c r="A89" s="477"/>
      <c r="B89" s="457" t="s">
        <v>1017</v>
      </c>
      <c r="C89" s="482">
        <v>5</v>
      </c>
      <c r="D89" s="483" t="s">
        <v>1018</v>
      </c>
      <c r="E89" s="467"/>
    </row>
    <row r="90" spans="1:5" x14ac:dyDescent="0.2">
      <c r="A90" s="477"/>
      <c r="B90" s="457" t="s">
        <v>1019</v>
      </c>
      <c r="C90" s="482">
        <v>6</v>
      </c>
      <c r="D90" s="483" t="s">
        <v>1020</v>
      </c>
      <c r="E90" s="467"/>
    </row>
    <row r="91" spans="1:5" x14ac:dyDescent="0.2">
      <c r="A91" s="477"/>
      <c r="B91" s="457" t="s">
        <v>1021</v>
      </c>
      <c r="C91" s="482">
        <v>7</v>
      </c>
      <c r="D91" s="483" t="s">
        <v>1022</v>
      </c>
      <c r="E91" s="467"/>
    </row>
    <row r="92" spans="1:5" x14ac:dyDescent="0.2">
      <c r="A92" s="477"/>
      <c r="B92" s="457"/>
      <c r="C92" s="482">
        <v>11</v>
      </c>
      <c r="D92" s="483" t="s">
        <v>1023</v>
      </c>
      <c r="E92" s="467"/>
    </row>
    <row r="93" spans="1:5" x14ac:dyDescent="0.2">
      <c r="A93" s="477"/>
      <c r="B93" s="457" t="s">
        <v>1024</v>
      </c>
      <c r="C93" s="482">
        <v>12</v>
      </c>
      <c r="D93" s="483" t="s">
        <v>1025</v>
      </c>
      <c r="E93" s="467"/>
    </row>
    <row r="94" spans="1:5" x14ac:dyDescent="0.2">
      <c r="A94" s="477"/>
      <c r="B94" s="457"/>
      <c r="C94" s="482">
        <v>13</v>
      </c>
      <c r="D94" s="483" t="s">
        <v>1026</v>
      </c>
      <c r="E94" s="467"/>
    </row>
    <row r="95" spans="1:5" x14ac:dyDescent="0.2">
      <c r="A95" s="477"/>
      <c r="B95" s="457"/>
      <c r="C95" s="482">
        <v>14</v>
      </c>
      <c r="D95" s="483" t="s">
        <v>1027</v>
      </c>
      <c r="E95" s="467"/>
    </row>
    <row r="96" spans="1:5" x14ac:dyDescent="0.2">
      <c r="A96" s="477"/>
      <c r="B96" s="457"/>
      <c r="C96" s="482">
        <v>15</v>
      </c>
      <c r="D96" s="483" t="s">
        <v>1028</v>
      </c>
      <c r="E96" s="467"/>
    </row>
    <row r="97" spans="1:5" x14ac:dyDescent="0.2">
      <c r="A97" s="477"/>
      <c r="B97" s="457"/>
      <c r="C97" s="482">
        <v>16</v>
      </c>
      <c r="D97" s="483" t="s">
        <v>1029</v>
      </c>
      <c r="E97" s="467"/>
    </row>
    <row r="98" spans="1:5" x14ac:dyDescent="0.2">
      <c r="A98" s="477"/>
      <c r="B98" s="457"/>
      <c r="C98" s="482">
        <v>17</v>
      </c>
      <c r="D98" s="483" t="s">
        <v>1030</v>
      </c>
      <c r="E98" s="467"/>
    </row>
    <row r="99" spans="1:5" x14ac:dyDescent="0.2">
      <c r="A99" s="477"/>
      <c r="B99" s="477"/>
      <c r="C99" s="477"/>
      <c r="D99" s="477"/>
      <c r="E99" s="477"/>
    </row>
    <row r="100" spans="1:5" ht="18" x14ac:dyDescent="0.25">
      <c r="A100" s="477"/>
      <c r="B100" s="468" t="s">
        <v>1031</v>
      </c>
      <c r="D100" s="484"/>
      <c r="E100" s="477"/>
    </row>
    <row r="101" spans="1:5" ht="16.5" thickBot="1" x14ac:dyDescent="0.3">
      <c r="A101" s="477"/>
      <c r="C101" s="470" t="s">
        <v>1032</v>
      </c>
      <c r="D101" s="484"/>
      <c r="E101" s="477"/>
    </row>
    <row r="102" spans="1:5" ht="16.5" thickTop="1" thickBot="1" x14ac:dyDescent="0.25">
      <c r="A102" s="477"/>
      <c r="B102" s="448" t="s">
        <v>1033</v>
      </c>
      <c r="C102" s="485" t="s">
        <v>1034</v>
      </c>
      <c r="D102" s="486" t="s">
        <v>1035</v>
      </c>
      <c r="E102" s="477"/>
    </row>
    <row r="103" spans="1:5" ht="13.5" thickTop="1" x14ac:dyDescent="0.2">
      <c r="A103" s="477"/>
      <c r="B103" s="487" t="s">
        <v>1036</v>
      </c>
      <c r="C103" s="437"/>
      <c r="D103" s="484"/>
      <c r="E103" s="477"/>
    </row>
    <row r="104" spans="1:5" x14ac:dyDescent="0.2">
      <c r="A104" s="477"/>
      <c r="C104" s="437"/>
      <c r="D104" s="484"/>
      <c r="E104" s="477"/>
    </row>
    <row r="105" spans="1:5" x14ac:dyDescent="0.2">
      <c r="A105" s="477"/>
      <c r="B105" s="477"/>
      <c r="C105" s="477"/>
      <c r="D105" s="477"/>
      <c r="E105" s="477"/>
    </row>
    <row r="106" spans="1:5" ht="18" x14ac:dyDescent="0.25">
      <c r="A106" s="477"/>
      <c r="B106" s="468" t="s">
        <v>1037</v>
      </c>
      <c r="D106" s="484"/>
      <c r="E106" s="477"/>
    </row>
    <row r="107" spans="1:5" ht="16.5" thickBot="1" x14ac:dyDescent="0.3">
      <c r="A107" s="477"/>
      <c r="C107" s="470" t="s">
        <v>1038</v>
      </c>
      <c r="D107" s="484"/>
      <c r="E107" s="477"/>
    </row>
    <row r="108" spans="1:5" ht="16.5" thickTop="1" thickBot="1" x14ac:dyDescent="0.25">
      <c r="A108" s="477"/>
      <c r="B108" s="448" t="s">
        <v>1039</v>
      </c>
      <c r="C108" s="485" t="s">
        <v>1040</v>
      </c>
      <c r="D108" s="486" t="s">
        <v>1035</v>
      </c>
      <c r="E108" s="477"/>
    </row>
    <row r="109" spans="1:5" ht="13.5" thickTop="1" x14ac:dyDescent="0.2">
      <c r="A109" s="477"/>
      <c r="C109" s="437"/>
      <c r="D109" s="484"/>
      <c r="E109" s="477"/>
    </row>
    <row r="110" spans="1:5" x14ac:dyDescent="0.2">
      <c r="A110" s="477"/>
      <c r="B110" s="477"/>
      <c r="C110" s="477"/>
      <c r="D110" s="477"/>
      <c r="E110" s="477"/>
    </row>
    <row r="111" spans="1:5" ht="18" x14ac:dyDescent="0.25">
      <c r="A111" s="477"/>
      <c r="B111" s="468" t="s">
        <v>1041</v>
      </c>
      <c r="D111" s="484"/>
      <c r="E111" s="477"/>
    </row>
    <row r="112" spans="1:5" ht="16.5" thickBot="1" x14ac:dyDescent="0.3">
      <c r="A112" s="477"/>
      <c r="B112" s="488"/>
      <c r="C112" s="470" t="s">
        <v>1042</v>
      </c>
      <c r="E112" s="477"/>
    </row>
    <row r="113" spans="1:5" ht="16.5" thickTop="1" thickBot="1" x14ac:dyDescent="0.25">
      <c r="A113" s="477"/>
      <c r="B113" s="449" t="s">
        <v>1043</v>
      </c>
      <c r="C113" s="485" t="s">
        <v>1044</v>
      </c>
      <c r="D113" s="486" t="s">
        <v>1035</v>
      </c>
      <c r="E113" s="477"/>
    </row>
    <row r="114" spans="1:5" ht="13.5" thickTop="1" x14ac:dyDescent="0.2">
      <c r="A114" s="477"/>
      <c r="B114" s="489" t="s">
        <v>1045</v>
      </c>
      <c r="C114" s="490">
        <f>MATCH(C113,{"Sunday";"Monday";"Tuesday";"Wednesday";"Thursday";"Friday";"Saturday"},0)</f>
        <v>2</v>
      </c>
      <c r="D114" s="491" t="s">
        <v>1046</v>
      </c>
      <c r="E114" s="477"/>
    </row>
    <row r="115" spans="1:5" x14ac:dyDescent="0.2">
      <c r="A115" s="477"/>
      <c r="B115" s="446"/>
      <c r="E115" s="477"/>
    </row>
    <row r="116" spans="1:5" x14ac:dyDescent="0.2">
      <c r="A116" s="477"/>
      <c r="B116" s="477"/>
      <c r="C116" s="477"/>
      <c r="D116" s="477"/>
      <c r="E116" s="477"/>
    </row>
    <row r="117" spans="1:5" ht="18" x14ac:dyDescent="0.25">
      <c r="A117" s="477"/>
      <c r="B117" s="468" t="s">
        <v>1047</v>
      </c>
      <c r="D117" s="484"/>
      <c r="E117" s="477"/>
    </row>
    <row r="118" spans="1:5" ht="16.5" thickBot="1" x14ac:dyDescent="0.3">
      <c r="A118" s="477"/>
      <c r="C118" s="470" t="s">
        <v>1048</v>
      </c>
      <c r="D118" s="484"/>
      <c r="E118" s="477"/>
    </row>
    <row r="119" spans="1:5" ht="16.5" thickTop="1" thickBot="1" x14ac:dyDescent="0.25">
      <c r="A119" s="477"/>
      <c r="B119" s="448" t="s">
        <v>1049</v>
      </c>
      <c r="C119" s="485" t="s">
        <v>906</v>
      </c>
      <c r="D119" s="486" t="s">
        <v>1035</v>
      </c>
      <c r="E119" s="477"/>
    </row>
    <row r="120" spans="1:5" ht="13.5" thickTop="1" x14ac:dyDescent="0.2">
      <c r="A120" s="477"/>
      <c r="B120" s="487" t="s">
        <v>1050</v>
      </c>
      <c r="C120" s="437"/>
      <c r="D120" s="484"/>
      <c r="E120" s="477"/>
    </row>
    <row r="121" spans="1:5" x14ac:dyDescent="0.2">
      <c r="A121" s="477"/>
      <c r="B121" s="492" t="s">
        <v>1051</v>
      </c>
      <c r="E121" s="477"/>
    </row>
    <row r="122" spans="1:5" x14ac:dyDescent="0.2">
      <c r="A122" s="477"/>
      <c r="E122" s="477"/>
    </row>
    <row r="123" spans="1:5" x14ac:dyDescent="0.2">
      <c r="A123" s="477"/>
      <c r="B123" s="477"/>
      <c r="C123" s="477"/>
      <c r="D123" s="477"/>
      <c r="E123" s="477"/>
    </row>
    <row r="124" spans="1:5" ht="18" x14ac:dyDescent="0.25">
      <c r="A124" s="477"/>
      <c r="B124" s="468" t="s">
        <v>1052</v>
      </c>
      <c r="D124" s="484"/>
      <c r="E124" s="477"/>
    </row>
    <row r="125" spans="1:5" x14ac:dyDescent="0.2">
      <c r="A125" s="477"/>
      <c r="E125" s="477"/>
    </row>
    <row r="126" spans="1:5" x14ac:dyDescent="0.2">
      <c r="A126" s="477"/>
      <c r="B126" s="446" t="s">
        <v>1053</v>
      </c>
      <c r="C126" s="493">
        <v>43985</v>
      </c>
      <c r="D126" s="486" t="s">
        <v>1054</v>
      </c>
      <c r="E126" s="477"/>
    </row>
    <row r="127" spans="1:5" x14ac:dyDescent="0.2">
      <c r="A127" s="477"/>
      <c r="B127" s="446" t="s">
        <v>1055</v>
      </c>
      <c r="C127" s="494">
        <v>43985</v>
      </c>
      <c r="D127" s="486" t="s">
        <v>1056</v>
      </c>
      <c r="E127" s="477"/>
    </row>
    <row r="128" spans="1:5" x14ac:dyDescent="0.2">
      <c r="A128" s="477"/>
      <c r="B128" s="446"/>
      <c r="E128" s="477"/>
    </row>
    <row r="129" spans="1:5" ht="16.5" thickBot="1" x14ac:dyDescent="0.3">
      <c r="A129" s="477"/>
      <c r="B129" s="457" t="s">
        <v>1057</v>
      </c>
      <c r="C129" s="470" t="s">
        <v>1058</v>
      </c>
      <c r="E129" s="477"/>
    </row>
    <row r="130" spans="1:5" ht="16.5" thickTop="1" thickBot="1" x14ac:dyDescent="0.25">
      <c r="A130" s="477"/>
      <c r="B130" s="487" t="s">
        <v>1059</v>
      </c>
      <c r="C130" s="485">
        <v>1</v>
      </c>
      <c r="D130" s="486" t="s">
        <v>1060</v>
      </c>
      <c r="E130" s="477"/>
    </row>
    <row r="131" spans="1:5" ht="13.5" thickTop="1" x14ac:dyDescent="0.2">
      <c r="A131" s="477"/>
      <c r="B131" s="457"/>
      <c r="E131" s="477"/>
    </row>
    <row r="132" spans="1:5" ht="16.5" thickBot="1" x14ac:dyDescent="0.3">
      <c r="A132" s="477"/>
      <c r="B132" s="457"/>
      <c r="C132" s="470" t="s">
        <v>1061</v>
      </c>
      <c r="E132" s="477"/>
    </row>
    <row r="133" spans="1:5" ht="16.5" thickTop="1" thickBot="1" x14ac:dyDescent="0.25">
      <c r="A133" s="477"/>
      <c r="B133" s="448" t="s">
        <v>1062</v>
      </c>
      <c r="C133" s="485" t="s">
        <v>906</v>
      </c>
      <c r="D133" s="486" t="s">
        <v>1035</v>
      </c>
      <c r="E133" s="477"/>
    </row>
    <row r="134" spans="1:5" ht="13.5" thickTop="1" x14ac:dyDescent="0.2">
      <c r="A134" s="477"/>
      <c r="B134" s="457"/>
      <c r="E134" s="477"/>
    </row>
    <row r="135" spans="1:5" x14ac:dyDescent="0.2">
      <c r="A135" s="477"/>
      <c r="B135" s="477"/>
      <c r="C135" s="477"/>
      <c r="D135" s="477"/>
      <c r="E135" s="477"/>
    </row>
    <row r="136" spans="1:5" ht="18" x14ac:dyDescent="0.25">
      <c r="A136" s="477"/>
      <c r="B136" s="468" t="s">
        <v>1063</v>
      </c>
      <c r="D136" s="484"/>
      <c r="E136" s="477"/>
    </row>
    <row r="137" spans="1:5" ht="16.5" thickBot="1" x14ac:dyDescent="0.3">
      <c r="A137" s="477"/>
      <c r="C137" s="470" t="s">
        <v>1064</v>
      </c>
      <c r="D137" s="484"/>
      <c r="E137" s="477"/>
    </row>
    <row r="138" spans="1:5" ht="14.25" thickTop="1" thickBot="1" x14ac:dyDescent="0.25">
      <c r="A138" s="477"/>
      <c r="B138" s="448" t="s">
        <v>1065</v>
      </c>
      <c r="C138" s="495" t="s">
        <v>1066</v>
      </c>
      <c r="D138" s="486" t="s">
        <v>1067</v>
      </c>
      <c r="E138" s="477"/>
    </row>
    <row r="139" spans="1:5" ht="14.25" thickTop="1" thickBot="1" x14ac:dyDescent="0.25">
      <c r="A139" s="477"/>
      <c r="B139" s="448" t="s">
        <v>1068</v>
      </c>
      <c r="C139" s="495" t="s">
        <v>1069</v>
      </c>
      <c r="D139" s="486" t="s">
        <v>1070</v>
      </c>
      <c r="E139" s="477"/>
    </row>
    <row r="140" spans="1:5" ht="13.5" thickTop="1" x14ac:dyDescent="0.2">
      <c r="A140" s="477"/>
      <c r="B140" s="492"/>
      <c r="C140" s="437"/>
      <c r="D140" s="484"/>
      <c r="E140" s="477"/>
    </row>
    <row r="141" spans="1:5" x14ac:dyDescent="0.2">
      <c r="A141" s="477"/>
      <c r="B141" s="477"/>
      <c r="C141" s="477"/>
      <c r="D141" s="477"/>
      <c r="E141" s="477"/>
    </row>
    <row r="142" spans="1:5" x14ac:dyDescent="0.2">
      <c r="B142" s="446"/>
    </row>
    <row r="143" spans="1:5" x14ac:dyDescent="0.2">
      <c r="A143" s="441"/>
      <c r="B143" s="459"/>
      <c r="C143" s="441"/>
      <c r="D143" s="441"/>
      <c r="E143" s="441"/>
    </row>
    <row r="144" spans="1:5" ht="26.25" x14ac:dyDescent="0.2">
      <c r="A144" s="441"/>
      <c r="B144" s="463" t="s">
        <v>1071</v>
      </c>
      <c r="C144" s="444" t="s">
        <v>938</v>
      </c>
      <c r="D144" s="441"/>
      <c r="E144" s="441"/>
    </row>
    <row r="145" spans="1:5" ht="15" x14ac:dyDescent="0.2">
      <c r="A145" s="441"/>
      <c r="B145" s="496"/>
      <c r="C145" s="441"/>
      <c r="D145" s="441"/>
      <c r="E145" s="441"/>
    </row>
    <row r="146" spans="1:5" ht="15" x14ac:dyDescent="0.2">
      <c r="A146" s="497"/>
      <c r="B146" s="498" t="s">
        <v>1072</v>
      </c>
      <c r="C146" s="497"/>
      <c r="D146" s="497"/>
      <c r="E146" s="497"/>
    </row>
    <row r="147" spans="1:5" ht="18" x14ac:dyDescent="0.25">
      <c r="A147" s="497"/>
      <c r="B147" s="499" t="s">
        <v>1073</v>
      </c>
      <c r="C147" s="497"/>
      <c r="D147" s="497"/>
      <c r="E147" s="497"/>
    </row>
    <row r="148" spans="1:5" ht="18" x14ac:dyDescent="0.25">
      <c r="A148" s="497"/>
      <c r="B148" s="499" t="s">
        <v>1074</v>
      </c>
      <c r="C148" s="497"/>
      <c r="D148" s="497"/>
      <c r="E148" s="497"/>
    </row>
    <row r="149" spans="1:5" ht="18" x14ac:dyDescent="0.25">
      <c r="A149" s="497"/>
      <c r="B149" s="499" t="s">
        <v>1075</v>
      </c>
      <c r="C149" s="497"/>
      <c r="D149" s="497"/>
      <c r="E149" s="497"/>
    </row>
    <row r="150" spans="1:5" ht="18" x14ac:dyDescent="0.25">
      <c r="A150" s="497"/>
      <c r="B150" s="499" t="s">
        <v>1076</v>
      </c>
      <c r="C150" s="497"/>
      <c r="D150" s="497"/>
      <c r="E150" s="497"/>
    </row>
    <row r="151" spans="1:5" ht="18" x14ac:dyDescent="0.25">
      <c r="A151" s="497"/>
      <c r="B151" s="499" t="s">
        <v>1077</v>
      </c>
      <c r="C151" s="497"/>
      <c r="D151" s="497"/>
      <c r="E151" s="497"/>
    </row>
    <row r="152" spans="1:5" ht="18" x14ac:dyDescent="0.25">
      <c r="A152" s="497"/>
      <c r="B152" s="499" t="s">
        <v>1078</v>
      </c>
      <c r="C152" s="497"/>
      <c r="D152" s="497"/>
      <c r="E152" s="497"/>
    </row>
    <row r="153" spans="1:5" ht="18" x14ac:dyDescent="0.25">
      <c r="A153" s="497"/>
      <c r="B153" s="499" t="s">
        <v>1079</v>
      </c>
      <c r="C153" s="497"/>
      <c r="D153" s="497"/>
      <c r="E153" s="497"/>
    </row>
    <row r="154" spans="1:5" ht="18" x14ac:dyDescent="0.25">
      <c r="A154" s="497"/>
      <c r="B154" s="499" t="s">
        <v>1080</v>
      </c>
      <c r="C154" s="497"/>
      <c r="D154" s="497"/>
      <c r="E154" s="497"/>
    </row>
    <row r="155" spans="1:5" ht="18" x14ac:dyDescent="0.25">
      <c r="A155" s="497"/>
      <c r="B155" s="499" t="s">
        <v>1081</v>
      </c>
      <c r="C155" s="497"/>
      <c r="D155" s="497"/>
      <c r="E155" s="497"/>
    </row>
    <row r="156" spans="1:5" ht="18" x14ac:dyDescent="0.25">
      <c r="A156" s="497"/>
      <c r="B156" s="499" t="s">
        <v>1082</v>
      </c>
      <c r="C156" s="497"/>
      <c r="D156" s="497"/>
      <c r="E156" s="497"/>
    </row>
    <row r="157" spans="1:5" ht="18" x14ac:dyDescent="0.25">
      <c r="A157" s="497"/>
      <c r="B157" s="499" t="s">
        <v>1083</v>
      </c>
      <c r="C157" s="497"/>
      <c r="D157" s="497"/>
      <c r="E157" s="497"/>
    </row>
    <row r="158" spans="1:5" x14ac:dyDescent="0.2">
      <c r="A158" s="497"/>
      <c r="B158" s="500"/>
      <c r="C158" s="497"/>
      <c r="D158" s="497"/>
      <c r="E158" s="497"/>
    </row>
    <row r="159" spans="1:5" x14ac:dyDescent="0.2">
      <c r="A159" s="437"/>
      <c r="E159" s="437"/>
    </row>
    <row r="160" spans="1:5" ht="20.100000000000001" customHeight="1" x14ac:dyDescent="0.2">
      <c r="A160" s="434"/>
      <c r="B160" s="501" t="s">
        <v>1084</v>
      </c>
      <c r="C160" s="502" t="s">
        <v>1085</v>
      </c>
      <c r="D160" s="477"/>
      <c r="E160" s="434"/>
    </row>
    <row r="161" spans="1:5" ht="51" x14ac:dyDescent="0.2">
      <c r="A161" s="437"/>
      <c r="B161" s="446" t="s">
        <v>1086</v>
      </c>
      <c r="E161" s="437"/>
    </row>
    <row r="162" spans="1:5" x14ac:dyDescent="0.2">
      <c r="A162" s="437"/>
      <c r="E162" s="437"/>
    </row>
    <row r="163" spans="1:5" x14ac:dyDescent="0.2">
      <c r="A163" s="437"/>
      <c r="B163" s="503" t="s">
        <v>1087</v>
      </c>
      <c r="E163" s="437"/>
    </row>
    <row r="164" spans="1:5" x14ac:dyDescent="0.2">
      <c r="A164" s="437"/>
      <c r="E164" s="437"/>
    </row>
    <row r="165" spans="1:5" ht="15.75" x14ac:dyDescent="0.25">
      <c r="A165" s="437"/>
      <c r="B165" s="504" t="s">
        <v>1088</v>
      </c>
      <c r="E165" s="437"/>
    </row>
    <row r="166" spans="1:5" x14ac:dyDescent="0.2">
      <c r="A166" s="437"/>
      <c r="B166" s="457" t="s">
        <v>1089</v>
      </c>
      <c r="E166" s="437"/>
    </row>
    <row r="167" spans="1:5" x14ac:dyDescent="0.2">
      <c r="A167" s="437"/>
      <c r="B167" s="457" t="s">
        <v>1090</v>
      </c>
      <c r="E167" s="437"/>
    </row>
    <row r="168" spans="1:5" x14ac:dyDescent="0.2">
      <c r="A168" s="437"/>
      <c r="B168" s="457" t="s">
        <v>1091</v>
      </c>
      <c r="E168" s="437"/>
    </row>
    <row r="169" spans="1:5" x14ac:dyDescent="0.2">
      <c r="A169" s="437"/>
      <c r="E169" s="437"/>
    </row>
    <row r="170" spans="1:5" ht="15.75" x14ac:dyDescent="0.25">
      <c r="A170" s="437"/>
      <c r="B170" s="504" t="s">
        <v>1092</v>
      </c>
      <c r="E170" s="437"/>
    </row>
    <row r="171" spans="1:5" x14ac:dyDescent="0.2">
      <c r="A171" s="437"/>
      <c r="B171" s="457" t="s">
        <v>1093</v>
      </c>
      <c r="E171" s="437"/>
    </row>
    <row r="172" spans="1:5" x14ac:dyDescent="0.2">
      <c r="A172" s="437"/>
      <c r="B172" s="457" t="s">
        <v>1094</v>
      </c>
      <c r="E172" s="437"/>
    </row>
    <row r="173" spans="1:5" x14ac:dyDescent="0.2">
      <c r="A173" s="437"/>
      <c r="B173" s="457"/>
      <c r="E173" s="437"/>
    </row>
    <row r="174" spans="1:5" x14ac:dyDescent="0.2">
      <c r="A174" s="437"/>
      <c r="B174" s="457" t="s">
        <v>1095</v>
      </c>
      <c r="E174" s="437"/>
    </row>
    <row r="175" spans="1:5" x14ac:dyDescent="0.2">
      <c r="A175" s="437"/>
      <c r="B175" s="457" t="s">
        <v>1096</v>
      </c>
      <c r="E175" s="437"/>
    </row>
    <row r="176" spans="1:5" x14ac:dyDescent="0.2">
      <c r="A176" s="437"/>
      <c r="B176" s="457"/>
      <c r="E176" s="437"/>
    </row>
    <row r="177" spans="1:5" x14ac:dyDescent="0.2">
      <c r="A177" s="437"/>
      <c r="B177" s="457"/>
      <c r="E177" s="437"/>
    </row>
    <row r="178" spans="1:5" x14ac:dyDescent="0.2">
      <c r="A178" s="437"/>
      <c r="B178" s="437"/>
      <c r="C178" s="437"/>
      <c r="D178" s="437"/>
      <c r="E178" s="437"/>
    </row>
    <row r="179" spans="1:5" ht="20.100000000000001" customHeight="1" x14ac:dyDescent="0.2">
      <c r="A179" s="434"/>
      <c r="B179" s="501" t="s">
        <v>1097</v>
      </c>
      <c r="C179" s="502" t="s">
        <v>1085</v>
      </c>
      <c r="D179" s="477"/>
      <c r="E179" s="434"/>
    </row>
    <row r="180" spans="1:5" ht="38.25" x14ac:dyDescent="0.2">
      <c r="A180" s="437"/>
      <c r="B180" s="446" t="s">
        <v>1098</v>
      </c>
      <c r="E180" s="437"/>
    </row>
    <row r="181" spans="1:5" x14ac:dyDescent="0.2">
      <c r="A181" s="437"/>
      <c r="B181" s="457"/>
      <c r="E181" s="437"/>
    </row>
    <row r="182" spans="1:5" x14ac:dyDescent="0.2">
      <c r="A182" s="437"/>
      <c r="B182" s="437"/>
      <c r="C182" s="437"/>
      <c r="D182" s="437"/>
      <c r="E182" s="437"/>
    </row>
    <row r="183" spans="1:5" ht="20.100000000000001" customHeight="1" x14ac:dyDescent="0.2">
      <c r="A183" s="434"/>
      <c r="B183" s="501" t="s">
        <v>1099</v>
      </c>
      <c r="C183" s="502" t="s">
        <v>1085</v>
      </c>
      <c r="D183" s="477"/>
      <c r="E183" s="434"/>
    </row>
    <row r="184" spans="1:5" ht="63.75" x14ac:dyDescent="0.2">
      <c r="A184" s="437"/>
      <c r="B184" s="446" t="s">
        <v>1100</v>
      </c>
      <c r="E184" s="437"/>
    </row>
    <row r="185" spans="1:5" x14ac:dyDescent="0.2">
      <c r="A185" s="437"/>
      <c r="B185" s="457"/>
      <c r="E185" s="437"/>
    </row>
    <row r="186" spans="1:5" x14ac:dyDescent="0.2">
      <c r="A186" s="437"/>
      <c r="B186" s="437"/>
      <c r="C186" s="437"/>
      <c r="D186" s="437"/>
      <c r="E186" s="437"/>
    </row>
    <row r="187" spans="1:5" ht="20.100000000000001" customHeight="1" x14ac:dyDescent="0.2">
      <c r="A187" s="434"/>
      <c r="B187" s="501" t="s">
        <v>1101</v>
      </c>
      <c r="C187" s="502" t="s">
        <v>1085</v>
      </c>
      <c r="D187" s="477"/>
      <c r="E187" s="434"/>
    </row>
    <row r="188" spans="1:5" x14ac:dyDescent="0.2">
      <c r="A188" s="437"/>
      <c r="B188" s="505" t="s">
        <v>1102</v>
      </c>
      <c r="E188" s="437"/>
    </row>
    <row r="189" spans="1:5" ht="25.5" x14ac:dyDescent="0.2">
      <c r="A189" s="437"/>
      <c r="B189" s="506" t="s">
        <v>1103</v>
      </c>
      <c r="E189" s="437"/>
    </row>
    <row r="190" spans="1:5" x14ac:dyDescent="0.2">
      <c r="A190" s="437"/>
      <c r="B190" s="507"/>
      <c r="E190" s="437"/>
    </row>
    <row r="191" spans="1:5" ht="63.75" x14ac:dyDescent="0.2">
      <c r="A191" s="437"/>
      <c r="B191" s="506" t="s">
        <v>1104</v>
      </c>
      <c r="E191" s="437"/>
    </row>
    <row r="192" spans="1:5" x14ac:dyDescent="0.2">
      <c r="A192" s="437"/>
      <c r="B192" s="508"/>
      <c r="E192" s="437"/>
    </row>
    <row r="193" spans="1:5" x14ac:dyDescent="0.2">
      <c r="A193" s="437"/>
      <c r="B193" s="437"/>
      <c r="C193" s="437"/>
      <c r="D193" s="437"/>
      <c r="E193" s="437"/>
    </row>
    <row r="194" spans="1:5" ht="20.100000000000001" customHeight="1" x14ac:dyDescent="0.2">
      <c r="A194" s="434"/>
      <c r="B194" s="501" t="s">
        <v>1105</v>
      </c>
      <c r="C194" s="502" t="s">
        <v>1085</v>
      </c>
      <c r="D194" s="477"/>
      <c r="E194" s="434"/>
    </row>
    <row r="195" spans="1:5" ht="51" x14ac:dyDescent="0.2">
      <c r="A195" s="437"/>
      <c r="B195" s="446" t="s">
        <v>1106</v>
      </c>
      <c r="E195" s="437"/>
    </row>
    <row r="196" spans="1:5" x14ac:dyDescent="0.2">
      <c r="A196" s="437"/>
      <c r="B196" s="457"/>
      <c r="E196" s="437"/>
    </row>
    <row r="197" spans="1:5" ht="25.5" x14ac:dyDescent="0.2">
      <c r="A197" s="437"/>
      <c r="B197" s="446" t="s">
        <v>1107</v>
      </c>
      <c r="E197" s="437"/>
    </row>
    <row r="198" spans="1:5" x14ac:dyDescent="0.2">
      <c r="A198" s="437"/>
      <c r="B198" s="457"/>
      <c r="E198" s="437"/>
    </row>
    <row r="199" spans="1:5" ht="15.75" x14ac:dyDescent="0.25">
      <c r="A199" s="437"/>
      <c r="B199" s="504" t="s">
        <v>1108</v>
      </c>
      <c r="E199" s="437"/>
    </row>
    <row r="200" spans="1:5" ht="38.25" x14ac:dyDescent="0.2">
      <c r="A200" s="437"/>
      <c r="B200" s="509" t="s">
        <v>1109</v>
      </c>
      <c r="E200" s="437"/>
    </row>
    <row r="201" spans="1:5" x14ac:dyDescent="0.2">
      <c r="A201" s="437"/>
      <c r="B201" s="510" t="s">
        <v>1110</v>
      </c>
      <c r="E201" s="437"/>
    </row>
    <row r="202" spans="1:5" ht="25.5" x14ac:dyDescent="0.2">
      <c r="A202" s="437"/>
      <c r="B202" s="509" t="s">
        <v>1111</v>
      </c>
      <c r="E202" s="437"/>
    </row>
    <row r="203" spans="1:5" x14ac:dyDescent="0.2">
      <c r="A203" s="437"/>
      <c r="B203" s="510" t="s">
        <v>1112</v>
      </c>
      <c r="E203" s="437"/>
    </row>
    <row r="204" spans="1:5" ht="63.75" x14ac:dyDescent="0.2">
      <c r="A204" s="437"/>
      <c r="B204" s="511" t="s">
        <v>1113</v>
      </c>
      <c r="E204" s="437"/>
    </row>
    <row r="205" spans="1:5" x14ac:dyDescent="0.2">
      <c r="A205" s="437"/>
      <c r="B205" s="510" t="s">
        <v>1114</v>
      </c>
      <c r="E205" s="437"/>
    </row>
    <row r="206" spans="1:5" ht="25.5" x14ac:dyDescent="0.2">
      <c r="A206" s="437"/>
      <c r="B206" s="509" t="s">
        <v>1115</v>
      </c>
      <c r="E206" s="437"/>
    </row>
    <row r="207" spans="1:5" x14ac:dyDescent="0.2">
      <c r="A207" s="437"/>
      <c r="B207" s="510"/>
      <c r="E207" s="437"/>
    </row>
    <row r="208" spans="1:5" ht="15.75" x14ac:dyDescent="0.25">
      <c r="A208" s="437"/>
      <c r="B208" s="504" t="s">
        <v>1116</v>
      </c>
      <c r="E208" s="437"/>
    </row>
    <row r="209" spans="1:5" ht="25.5" x14ac:dyDescent="0.2">
      <c r="A209" s="437"/>
      <c r="B209" s="509" t="s">
        <v>1117</v>
      </c>
      <c r="E209" s="437"/>
    </row>
    <row r="210" spans="1:5" x14ac:dyDescent="0.2">
      <c r="A210" s="437"/>
      <c r="B210" s="509"/>
      <c r="E210" s="437"/>
    </row>
    <row r="211" spans="1:5" x14ac:dyDescent="0.2">
      <c r="A211" s="437"/>
      <c r="B211" s="510" t="s">
        <v>1118</v>
      </c>
      <c r="E211" s="437"/>
    </row>
    <row r="212" spans="1:5" x14ac:dyDescent="0.2">
      <c r="A212" s="437"/>
      <c r="B212" s="512" t="s">
        <v>1119</v>
      </c>
      <c r="E212" s="437"/>
    </row>
    <row r="213" spans="1:5" ht="25.5" x14ac:dyDescent="0.2">
      <c r="A213" s="437"/>
      <c r="B213" s="513" t="s">
        <v>1120</v>
      </c>
      <c r="E213" s="437"/>
    </row>
    <row r="214" spans="1:5" x14ac:dyDescent="0.2">
      <c r="A214" s="437"/>
      <c r="B214" s="513" t="s">
        <v>1121</v>
      </c>
      <c r="E214" s="437"/>
    </row>
    <row r="215" spans="1:5" x14ac:dyDescent="0.2">
      <c r="A215" s="437"/>
      <c r="B215" s="514" t="s">
        <v>1122</v>
      </c>
      <c r="E215" s="437"/>
    </row>
    <row r="216" spans="1:5" x14ac:dyDescent="0.2">
      <c r="A216" s="437"/>
      <c r="B216" s="512" t="s">
        <v>1123</v>
      </c>
      <c r="E216" s="437"/>
    </row>
    <row r="217" spans="1:5" x14ac:dyDescent="0.2">
      <c r="A217" s="437"/>
      <c r="B217" s="514" t="s">
        <v>1124</v>
      </c>
      <c r="E217" s="437"/>
    </row>
    <row r="218" spans="1:5" x14ac:dyDescent="0.2">
      <c r="A218" s="437"/>
      <c r="B218" s="514" t="s">
        <v>1125</v>
      </c>
      <c r="E218" s="437"/>
    </row>
    <row r="219" spans="1:5" x14ac:dyDescent="0.2">
      <c r="A219" s="437"/>
      <c r="B219" s="512" t="s">
        <v>1126</v>
      </c>
      <c r="E219" s="437"/>
    </row>
    <row r="220" spans="1:5" ht="25.5" x14ac:dyDescent="0.2">
      <c r="A220" s="437"/>
      <c r="B220" s="514" t="s">
        <v>1127</v>
      </c>
      <c r="E220" s="437"/>
    </row>
    <row r="221" spans="1:5" x14ac:dyDescent="0.2">
      <c r="A221" s="437"/>
      <c r="B221" s="515"/>
      <c r="E221" s="437"/>
    </row>
    <row r="222" spans="1:5" x14ac:dyDescent="0.2">
      <c r="A222" s="437"/>
      <c r="B222" s="506" t="s">
        <v>1128</v>
      </c>
      <c r="E222" s="437"/>
    </row>
    <row r="223" spans="1:5" x14ac:dyDescent="0.2">
      <c r="A223" s="437"/>
      <c r="B223" s="506"/>
      <c r="E223" s="437"/>
    </row>
    <row r="224" spans="1:5" x14ac:dyDescent="0.2">
      <c r="A224" s="437"/>
      <c r="B224" s="437"/>
      <c r="C224" s="437"/>
      <c r="D224" s="437"/>
      <c r="E224" s="437"/>
    </row>
    <row r="225" spans="1:5" ht="20.100000000000001" customHeight="1" x14ac:dyDescent="0.2">
      <c r="A225" s="434"/>
      <c r="B225" s="501" t="s">
        <v>1129</v>
      </c>
      <c r="C225" s="502" t="s">
        <v>1085</v>
      </c>
      <c r="D225" s="477"/>
      <c r="E225" s="434"/>
    </row>
    <row r="226" spans="1:5" x14ac:dyDescent="0.2">
      <c r="A226" s="437"/>
      <c r="B226" s="510" t="s">
        <v>1130</v>
      </c>
      <c r="E226" s="437"/>
    </row>
    <row r="227" spans="1:5" ht="38.25" x14ac:dyDescent="0.2">
      <c r="A227" s="437"/>
      <c r="B227" s="446" t="s">
        <v>1131</v>
      </c>
      <c r="E227" s="437"/>
    </row>
    <row r="228" spans="1:5" x14ac:dyDescent="0.2">
      <c r="A228" s="437"/>
      <c r="B228" s="457" t="s">
        <v>1132</v>
      </c>
      <c r="E228" s="437"/>
    </row>
    <row r="229" spans="1:5" x14ac:dyDescent="0.2">
      <c r="A229" s="437"/>
      <c r="B229" s="457" t="s">
        <v>1133</v>
      </c>
      <c r="E229" s="437"/>
    </row>
    <row r="230" spans="1:5" x14ac:dyDescent="0.2">
      <c r="A230" s="437"/>
      <c r="B230" s="457"/>
      <c r="E230" s="437"/>
    </row>
    <row r="231" spans="1:5" x14ac:dyDescent="0.2">
      <c r="A231" s="516"/>
      <c r="B231" s="488"/>
    </row>
    <row r="232" spans="1:5" ht="20.100000000000001" customHeight="1" x14ac:dyDescent="0.2">
      <c r="A232" s="434"/>
      <c r="B232" s="501" t="s">
        <v>1134</v>
      </c>
      <c r="C232" s="502" t="s">
        <v>1085</v>
      </c>
      <c r="D232" s="477"/>
      <c r="E232" s="434"/>
    </row>
    <row r="233" spans="1:5" x14ac:dyDescent="0.2">
      <c r="A233" s="437"/>
      <c r="B233" s="437"/>
      <c r="C233" s="437"/>
      <c r="D233" s="437"/>
      <c r="E233" s="437"/>
    </row>
    <row r="234" spans="1:5" ht="15.75" x14ac:dyDescent="0.25">
      <c r="A234" s="437"/>
      <c r="B234" s="517" t="s">
        <v>1135</v>
      </c>
      <c r="E234" s="437"/>
    </row>
    <row r="235" spans="1:5" ht="51" x14ac:dyDescent="0.2">
      <c r="A235" s="437"/>
      <c r="B235" s="455" t="s">
        <v>1136</v>
      </c>
      <c r="E235" s="437"/>
    </row>
    <row r="236" spans="1:5" x14ac:dyDescent="0.2">
      <c r="A236" s="437"/>
      <c r="B236" s="457" t="s">
        <v>1137</v>
      </c>
      <c r="E236" s="437"/>
    </row>
    <row r="237" spans="1:5" x14ac:dyDescent="0.2">
      <c r="A237" s="437"/>
      <c r="B237" s="515"/>
      <c r="E237" s="437"/>
    </row>
    <row r="238" spans="1:5" ht="15.75" x14ac:dyDescent="0.25">
      <c r="A238" s="437"/>
      <c r="B238" s="517" t="s">
        <v>1138</v>
      </c>
      <c r="E238" s="437"/>
    </row>
    <row r="239" spans="1:5" x14ac:dyDescent="0.2">
      <c r="A239" s="437"/>
      <c r="B239" s="457" t="s">
        <v>1139</v>
      </c>
      <c r="E239" s="437"/>
    </row>
    <row r="240" spans="1:5" x14ac:dyDescent="0.2">
      <c r="A240" s="437"/>
      <c r="B240" s="457" t="s">
        <v>1140</v>
      </c>
      <c r="E240" s="437"/>
    </row>
    <row r="241" spans="1:5" x14ac:dyDescent="0.2">
      <c r="A241" s="437"/>
      <c r="B241" s="457" t="s">
        <v>1141</v>
      </c>
      <c r="E241" s="437"/>
    </row>
    <row r="242" spans="1:5" x14ac:dyDescent="0.2">
      <c r="A242" s="437"/>
      <c r="B242" s="457" t="s">
        <v>1142</v>
      </c>
      <c r="E242" s="437"/>
    </row>
    <row r="243" spans="1:5" x14ac:dyDescent="0.2">
      <c r="A243" s="437"/>
      <c r="B243" s="457"/>
      <c r="E243" s="437"/>
    </row>
    <row r="244" spans="1:5" x14ac:dyDescent="0.2">
      <c r="A244" s="437"/>
      <c r="B244" s="457" t="s">
        <v>1143</v>
      </c>
      <c r="E244" s="437"/>
    </row>
    <row r="245" spans="1:5" x14ac:dyDescent="0.2">
      <c r="A245" s="437"/>
      <c r="B245" s="457" t="s">
        <v>1144</v>
      </c>
      <c r="C245" s="480" t="s">
        <v>1145</v>
      </c>
      <c r="E245" s="437"/>
    </row>
    <row r="246" spans="1:5" x14ac:dyDescent="0.2">
      <c r="A246" s="437"/>
      <c r="B246" s="457"/>
      <c r="C246" s="518">
        <v>2</v>
      </c>
      <c r="D246" s="519" t="s">
        <v>1146</v>
      </c>
      <c r="E246" s="437"/>
    </row>
    <row r="247" spans="1:5" x14ac:dyDescent="0.2">
      <c r="A247" s="437"/>
      <c r="B247" s="446" t="s">
        <v>1147</v>
      </c>
      <c r="C247" s="518">
        <v>14</v>
      </c>
      <c r="D247" s="519" t="s">
        <v>1148</v>
      </c>
      <c r="E247" s="437"/>
    </row>
    <row r="248" spans="1:5" x14ac:dyDescent="0.2">
      <c r="A248" s="437"/>
      <c r="B248" s="446" t="s">
        <v>1149</v>
      </c>
      <c r="C248" s="518">
        <v>28</v>
      </c>
      <c r="D248" s="519" t="s">
        <v>1150</v>
      </c>
      <c r="E248" s="437"/>
    </row>
    <row r="249" spans="1:5" ht="25.5" x14ac:dyDescent="0.2">
      <c r="A249" s="437"/>
      <c r="B249" s="446" t="s">
        <v>1151</v>
      </c>
      <c r="E249" s="437"/>
    </row>
    <row r="250" spans="1:5" x14ac:dyDescent="0.2">
      <c r="A250" s="437"/>
      <c r="B250" s="457"/>
      <c r="E250" s="437"/>
    </row>
    <row r="251" spans="1:5" ht="15.75" x14ac:dyDescent="0.25">
      <c r="A251" s="437"/>
      <c r="B251" s="517" t="s">
        <v>1152</v>
      </c>
      <c r="C251" s="520" t="s">
        <v>1153</v>
      </c>
      <c r="D251" s="520" t="s">
        <v>856</v>
      </c>
      <c r="E251" s="437"/>
    </row>
    <row r="252" spans="1:5" x14ac:dyDescent="0.2">
      <c r="A252" s="437"/>
      <c r="B252" s="457" t="s">
        <v>1154</v>
      </c>
      <c r="C252" s="521" t="s">
        <v>1155</v>
      </c>
      <c r="D252" s="518" t="s">
        <v>1156</v>
      </c>
      <c r="E252" s="437"/>
    </row>
    <row r="253" spans="1:5" x14ac:dyDescent="0.2">
      <c r="A253" s="437"/>
      <c r="B253" s="457" t="s">
        <v>1157</v>
      </c>
      <c r="C253" s="521" t="s">
        <v>1158</v>
      </c>
      <c r="D253" s="518" t="s">
        <v>1159</v>
      </c>
      <c r="E253" s="437"/>
    </row>
    <row r="254" spans="1:5" x14ac:dyDescent="0.2">
      <c r="A254" s="437"/>
      <c r="B254" s="457" t="s">
        <v>1160</v>
      </c>
      <c r="C254" s="521" t="s">
        <v>1161</v>
      </c>
      <c r="D254" s="518" t="s">
        <v>1162</v>
      </c>
      <c r="E254" s="437"/>
    </row>
    <row r="255" spans="1:5" x14ac:dyDescent="0.2">
      <c r="A255" s="437"/>
      <c r="B255" s="457"/>
      <c r="C255" s="521" t="s">
        <v>1163</v>
      </c>
      <c r="D255" s="518" t="s">
        <v>1164</v>
      </c>
      <c r="E255" s="437"/>
    </row>
    <row r="256" spans="1:5" x14ac:dyDescent="0.2">
      <c r="A256" s="437"/>
      <c r="B256" s="457" t="s">
        <v>1165</v>
      </c>
      <c r="C256" s="521"/>
      <c r="D256" s="518" t="s">
        <v>1166</v>
      </c>
      <c r="E256" s="437"/>
    </row>
    <row r="257" spans="1:5" x14ac:dyDescent="0.2">
      <c r="A257" s="437"/>
      <c r="B257" s="457" t="s">
        <v>1167</v>
      </c>
      <c r="C257" s="521"/>
      <c r="D257" s="518" t="s">
        <v>1168</v>
      </c>
      <c r="E257" s="437"/>
    </row>
    <row r="258" spans="1:5" x14ac:dyDescent="0.2">
      <c r="A258" s="437"/>
      <c r="B258" s="457" t="s">
        <v>1169</v>
      </c>
      <c r="C258" s="521"/>
      <c r="D258" s="518" t="s">
        <v>1170</v>
      </c>
      <c r="E258" s="437"/>
    </row>
    <row r="259" spans="1:5" x14ac:dyDescent="0.2">
      <c r="A259" s="437"/>
      <c r="B259" s="457" t="s">
        <v>1171</v>
      </c>
      <c r="C259" s="521"/>
      <c r="D259" s="518" t="s">
        <v>1172</v>
      </c>
      <c r="E259" s="437"/>
    </row>
    <row r="260" spans="1:5" x14ac:dyDescent="0.2">
      <c r="A260" s="437"/>
      <c r="B260" s="437"/>
      <c r="C260" s="437"/>
      <c r="D260" s="437"/>
      <c r="E260" s="437"/>
    </row>
    <row r="262" spans="1:5" ht="20.100000000000001" customHeight="1" x14ac:dyDescent="0.2">
      <c r="A262" s="434"/>
      <c r="B262" s="501" t="s">
        <v>1173</v>
      </c>
      <c r="C262" s="502" t="s">
        <v>1085</v>
      </c>
      <c r="D262" s="477"/>
      <c r="E262" s="434"/>
    </row>
    <row r="263" spans="1:5" ht="25.5" x14ac:dyDescent="0.2">
      <c r="A263" s="437"/>
      <c r="B263" s="455" t="s">
        <v>1174</v>
      </c>
      <c r="E263" s="437"/>
    </row>
    <row r="264" spans="1:5" x14ac:dyDescent="0.2">
      <c r="A264" s="437"/>
      <c r="B264" s="455"/>
      <c r="E264" s="437"/>
    </row>
    <row r="265" spans="1:5" ht="25.5" x14ac:dyDescent="0.2">
      <c r="A265" s="437"/>
      <c r="B265" s="455" t="s">
        <v>1175</v>
      </c>
      <c r="E265" s="437"/>
    </row>
    <row r="266" spans="1:5" x14ac:dyDescent="0.2">
      <c r="A266" s="437"/>
      <c r="B266" s="515"/>
      <c r="E266" s="437"/>
    </row>
    <row r="267" spans="1:5" ht="25.5" x14ac:dyDescent="0.2">
      <c r="A267" s="437"/>
      <c r="B267" s="446" t="s">
        <v>1176</v>
      </c>
      <c r="E267" s="437"/>
    </row>
    <row r="268" spans="1:5" x14ac:dyDescent="0.2">
      <c r="A268" s="437"/>
      <c r="B268" s="515"/>
      <c r="E268" s="437"/>
    </row>
    <row r="269" spans="1:5" ht="51" x14ac:dyDescent="0.2">
      <c r="A269" s="437"/>
      <c r="B269" s="455" t="s">
        <v>1177</v>
      </c>
      <c r="E269" s="437"/>
    </row>
    <row r="270" spans="1:5" x14ac:dyDescent="0.2">
      <c r="A270" s="437"/>
      <c r="B270" s="515"/>
      <c r="E270" s="437"/>
    </row>
    <row r="271" spans="1:5" x14ac:dyDescent="0.2">
      <c r="A271" s="437"/>
      <c r="B271" s="457" t="s">
        <v>1178</v>
      </c>
      <c r="E271" s="437"/>
    </row>
    <row r="272" spans="1:5" x14ac:dyDescent="0.2">
      <c r="A272" s="437"/>
      <c r="B272" s="522" t="s">
        <v>1179</v>
      </c>
      <c r="E272" s="437"/>
    </row>
    <row r="273" spans="1:5" x14ac:dyDescent="0.2">
      <c r="A273" s="437"/>
      <c r="B273" s="522" t="s">
        <v>1180</v>
      </c>
      <c r="E273" s="437"/>
    </row>
    <row r="274" spans="1:5" ht="25.5" x14ac:dyDescent="0.2">
      <c r="A274" s="437"/>
      <c r="B274" s="523" t="s">
        <v>1181</v>
      </c>
      <c r="E274" s="437"/>
    </row>
    <row r="275" spans="1:5" x14ac:dyDescent="0.2">
      <c r="A275" s="437"/>
      <c r="B275" s="523"/>
      <c r="E275" s="437"/>
    </row>
    <row r="276" spans="1:5" x14ac:dyDescent="0.2">
      <c r="A276" s="437"/>
      <c r="B276" s="437"/>
      <c r="C276" s="437"/>
      <c r="D276" s="437"/>
      <c r="E276" s="437"/>
    </row>
    <row r="277" spans="1:5" ht="20.100000000000001" customHeight="1" x14ac:dyDescent="0.2">
      <c r="A277" s="434"/>
      <c r="B277" s="501" t="s">
        <v>1182</v>
      </c>
      <c r="C277" s="502" t="s">
        <v>1085</v>
      </c>
      <c r="D277" s="477"/>
      <c r="E277" s="434"/>
    </row>
    <row r="278" spans="1:5" ht="38.25" x14ac:dyDescent="0.2">
      <c r="A278" s="437"/>
      <c r="B278" s="455" t="s">
        <v>1183</v>
      </c>
      <c r="E278" s="437"/>
    </row>
    <row r="279" spans="1:5" x14ac:dyDescent="0.2">
      <c r="A279" s="437"/>
      <c r="B279" s="455"/>
      <c r="E279" s="437"/>
    </row>
    <row r="280" spans="1:5" x14ac:dyDescent="0.2">
      <c r="A280" s="437"/>
      <c r="B280" s="524" t="s">
        <v>1184</v>
      </c>
      <c r="E280" s="437"/>
    </row>
    <row r="281" spans="1:5" x14ac:dyDescent="0.2">
      <c r="A281" s="437"/>
      <c r="B281" s="523" t="s">
        <v>1185</v>
      </c>
      <c r="E281" s="437"/>
    </row>
    <row r="282" spans="1:5" x14ac:dyDescent="0.2">
      <c r="A282" s="437"/>
      <c r="B282" s="455"/>
      <c r="E282" s="437"/>
    </row>
    <row r="283" spans="1:5" ht="51" x14ac:dyDescent="0.2">
      <c r="A283" s="437"/>
      <c r="B283" s="455" t="s">
        <v>1186</v>
      </c>
      <c r="E283" s="437"/>
    </row>
    <row r="284" spans="1:5" x14ac:dyDescent="0.2">
      <c r="A284" s="437"/>
      <c r="B284" s="515"/>
      <c r="E284" s="437"/>
    </row>
    <row r="285" spans="1:5" ht="51" x14ac:dyDescent="0.2">
      <c r="A285" s="437"/>
      <c r="B285" s="455" t="s">
        <v>1187</v>
      </c>
      <c r="E285" s="437"/>
    </row>
    <row r="286" spans="1:5" x14ac:dyDescent="0.2">
      <c r="A286" s="437"/>
      <c r="B286" s="525" t="s">
        <v>1188</v>
      </c>
      <c r="E286" s="437"/>
    </row>
    <row r="287" spans="1:5" x14ac:dyDescent="0.2">
      <c r="A287" s="437"/>
      <c r="B287" s="522" t="s">
        <v>1189</v>
      </c>
      <c r="E287" s="437"/>
    </row>
    <row r="288" spans="1:5" x14ac:dyDescent="0.2">
      <c r="A288" s="437"/>
      <c r="B288" s="515"/>
      <c r="E288" s="437"/>
    </row>
    <row r="289" spans="1:5" ht="25.5" x14ac:dyDescent="0.2">
      <c r="A289" s="437"/>
      <c r="B289" s="505" t="s">
        <v>1190</v>
      </c>
      <c r="E289" s="437"/>
    </row>
    <row r="290" spans="1:5" x14ac:dyDescent="0.2">
      <c r="A290" s="437"/>
      <c r="B290" s="515"/>
      <c r="E290" s="437"/>
    </row>
    <row r="291" spans="1:5" ht="51" x14ac:dyDescent="0.2">
      <c r="A291" s="437"/>
      <c r="B291" s="446" t="s">
        <v>1191</v>
      </c>
      <c r="E291" s="437"/>
    </row>
    <row r="292" spans="1:5" ht="76.5" x14ac:dyDescent="0.2">
      <c r="A292" s="437"/>
      <c r="B292" s="526" t="s">
        <v>1192</v>
      </c>
      <c r="E292" s="437"/>
    </row>
    <row r="293" spans="1:5" x14ac:dyDescent="0.2">
      <c r="A293" s="437"/>
      <c r="B293" s="515"/>
      <c r="E293" s="437"/>
    </row>
    <row r="294" spans="1:5" x14ac:dyDescent="0.2">
      <c r="A294" s="437"/>
      <c r="B294" s="515"/>
      <c r="E294" s="437"/>
    </row>
    <row r="295" spans="1:5" ht="20.100000000000001" customHeight="1" x14ac:dyDescent="0.2">
      <c r="A295" s="434"/>
      <c r="B295" s="501" t="s">
        <v>1193</v>
      </c>
      <c r="C295" s="502" t="s">
        <v>1085</v>
      </c>
      <c r="D295" s="477"/>
      <c r="E295" s="434"/>
    </row>
    <row r="296" spans="1:5" ht="38.25" x14ac:dyDescent="0.2">
      <c r="A296" s="437"/>
      <c r="B296" s="455" t="s">
        <v>1194</v>
      </c>
      <c r="E296" s="437"/>
    </row>
    <row r="297" spans="1:5" x14ac:dyDescent="0.2">
      <c r="A297" s="437"/>
      <c r="B297" s="455"/>
      <c r="E297" s="437"/>
    </row>
    <row r="298" spans="1:5" ht="25.5" x14ac:dyDescent="0.2">
      <c r="A298" s="437"/>
      <c r="B298" s="455" t="s">
        <v>1195</v>
      </c>
      <c r="E298" s="437"/>
    </row>
    <row r="299" spans="1:5" x14ac:dyDescent="0.2">
      <c r="A299" s="437"/>
      <c r="B299" s="515"/>
      <c r="E299" s="437"/>
    </row>
    <row r="300" spans="1:5" x14ac:dyDescent="0.2">
      <c r="A300" s="437"/>
      <c r="B300" s="515"/>
      <c r="E300" s="437"/>
    </row>
    <row r="301" spans="1:5" ht="20.100000000000001" customHeight="1" x14ac:dyDescent="0.2">
      <c r="A301" s="434"/>
      <c r="B301" s="501" t="s">
        <v>1196</v>
      </c>
      <c r="C301" s="502" t="s">
        <v>1085</v>
      </c>
      <c r="D301" s="477"/>
      <c r="E301" s="434"/>
    </row>
    <row r="302" spans="1:5" ht="25.5" x14ac:dyDescent="0.2">
      <c r="A302" s="437"/>
      <c r="B302" s="455" t="s">
        <v>1197</v>
      </c>
      <c r="E302" s="437"/>
    </row>
    <row r="303" spans="1:5" x14ac:dyDescent="0.2">
      <c r="A303" s="437"/>
      <c r="B303" s="455"/>
      <c r="E303" s="437"/>
    </row>
    <row r="304" spans="1:5" ht="38.25" x14ac:dyDescent="0.2">
      <c r="A304" s="437"/>
      <c r="B304" s="455" t="s">
        <v>1198</v>
      </c>
      <c r="E304" s="437"/>
    </row>
    <row r="305" spans="1:5" x14ac:dyDescent="0.2">
      <c r="A305" s="437"/>
      <c r="B305" s="455"/>
      <c r="E305" s="437"/>
    </row>
    <row r="306" spans="1:5" ht="38.25" x14ac:dyDescent="0.2">
      <c r="A306" s="437"/>
      <c r="B306" s="455" t="s">
        <v>1199</v>
      </c>
      <c r="E306" s="437"/>
    </row>
    <row r="307" spans="1:5" x14ac:dyDescent="0.2">
      <c r="A307" s="437"/>
      <c r="B307" s="455"/>
      <c r="E307" s="437"/>
    </row>
    <row r="308" spans="1:5" s="437" customFormat="1" x14ac:dyDescent="0.2"/>
    <row r="309" spans="1:5" s="437" customFormat="1" ht="14.25" x14ac:dyDescent="0.2">
      <c r="A309" s="458"/>
      <c r="B309" s="459"/>
      <c r="C309" s="460"/>
      <c r="D309" s="461"/>
      <c r="E309" s="458"/>
    </row>
    <row r="310" spans="1:5" s="437" customFormat="1" ht="26.25" x14ac:dyDescent="0.2">
      <c r="A310" s="462"/>
      <c r="B310" s="463" t="s">
        <v>1200</v>
      </c>
      <c r="C310" s="444" t="s">
        <v>938</v>
      </c>
      <c r="D310" s="458"/>
      <c r="E310" s="458"/>
    </row>
    <row r="311" spans="1:5" ht="15.75" x14ac:dyDescent="0.2">
      <c r="A311" s="464"/>
      <c r="B311" s="464"/>
      <c r="C311" s="612"/>
      <c r="D311" s="612"/>
      <c r="E311" s="458"/>
    </row>
    <row r="312" spans="1:5" s="437" customFormat="1" x14ac:dyDescent="0.2"/>
    <row r="313" spans="1:5" ht="15.75" x14ac:dyDescent="0.2">
      <c r="A313" s="527" t="s">
        <v>1201</v>
      </c>
      <c r="B313" s="528" t="s">
        <v>1202</v>
      </c>
      <c r="C313" s="477"/>
      <c r="D313" s="477"/>
    </row>
    <row r="314" spans="1:5" ht="51" x14ac:dyDescent="0.2">
      <c r="A314" s="437"/>
      <c r="B314" s="455" t="s">
        <v>1203</v>
      </c>
      <c r="E314" s="437"/>
    </row>
    <row r="315" spans="1:5" x14ac:dyDescent="0.2">
      <c r="A315" s="437"/>
      <c r="B315" s="529" t="s">
        <v>1204</v>
      </c>
      <c r="E315" s="437"/>
    </row>
    <row r="316" spans="1:5" s="437" customFormat="1" x14ac:dyDescent="0.2"/>
    <row r="317" spans="1:5" ht="15.75" x14ac:dyDescent="0.2">
      <c r="A317" s="527" t="s">
        <v>1201</v>
      </c>
      <c r="B317" s="528" t="s">
        <v>1205</v>
      </c>
      <c r="C317" s="477"/>
      <c r="D317" s="477"/>
    </row>
    <row r="318" spans="1:5" ht="38.25" x14ac:dyDescent="0.2">
      <c r="B318" s="506" t="s">
        <v>1206</v>
      </c>
    </row>
    <row r="319" spans="1:5" s="437" customFormat="1" x14ac:dyDescent="0.2"/>
    <row r="320" spans="1:5" ht="15.75" x14ac:dyDescent="0.2">
      <c r="A320" s="527" t="s">
        <v>1201</v>
      </c>
      <c r="B320" s="528" t="s">
        <v>1207</v>
      </c>
      <c r="C320" s="477"/>
      <c r="D320" s="477"/>
    </row>
    <row r="321" spans="1:4" x14ac:dyDescent="0.2">
      <c r="B321" s="457" t="s">
        <v>1208</v>
      </c>
    </row>
    <row r="322" spans="1:4" x14ac:dyDescent="0.2">
      <c r="B322" s="457" t="s">
        <v>1209</v>
      </c>
    </row>
    <row r="323" spans="1:4" x14ac:dyDescent="0.2">
      <c r="B323" s="457" t="s">
        <v>1210</v>
      </c>
    </row>
    <row r="324" spans="1:4" s="437" customFormat="1" x14ac:dyDescent="0.2"/>
    <row r="325" spans="1:4" ht="15.75" x14ac:dyDescent="0.2">
      <c r="A325" s="527" t="s">
        <v>1201</v>
      </c>
      <c r="B325" s="528" t="s">
        <v>1211</v>
      </c>
      <c r="C325" s="477"/>
      <c r="D325" s="477"/>
    </row>
    <row r="326" spans="1:4" x14ac:dyDescent="0.2">
      <c r="B326" s="530" t="s">
        <v>1212</v>
      </c>
    </row>
    <row r="327" spans="1:4" ht="25.5" x14ac:dyDescent="0.2">
      <c r="B327" s="530" t="s">
        <v>1213</v>
      </c>
    </row>
    <row r="328" spans="1:4" x14ac:dyDescent="0.2">
      <c r="B328" s="530" t="s">
        <v>1214</v>
      </c>
    </row>
    <row r="329" spans="1:4" x14ac:dyDescent="0.2">
      <c r="B329" s="529" t="s">
        <v>1215</v>
      </c>
    </row>
    <row r="330" spans="1:4" s="437" customFormat="1" x14ac:dyDescent="0.2"/>
    <row r="331" spans="1:4" ht="15.75" x14ac:dyDescent="0.2">
      <c r="A331" s="527" t="s">
        <v>1201</v>
      </c>
      <c r="B331" s="528" t="s">
        <v>1216</v>
      </c>
      <c r="C331" s="477"/>
      <c r="D331" s="477"/>
    </row>
    <row r="332" spans="1:4" ht="25.5" x14ac:dyDescent="0.2">
      <c r="B332" s="506" t="s">
        <v>1217</v>
      </c>
    </row>
    <row r="334" spans="1:4" ht="15.75" x14ac:dyDescent="0.2">
      <c r="A334" s="527" t="s">
        <v>1201</v>
      </c>
      <c r="B334" s="528" t="s">
        <v>1218</v>
      </c>
      <c r="C334" s="477"/>
      <c r="D334" s="477"/>
    </row>
    <row r="335" spans="1:4" ht="25.5" x14ac:dyDescent="0.2">
      <c r="A335" s="531"/>
      <c r="B335" s="506" t="s">
        <v>1219</v>
      </c>
    </row>
    <row r="337" spans="1:4" ht="15.75" x14ac:dyDescent="0.2">
      <c r="A337" s="527" t="s">
        <v>1201</v>
      </c>
      <c r="B337" s="528" t="s">
        <v>1220</v>
      </c>
      <c r="C337" s="477"/>
      <c r="D337" s="477"/>
    </row>
    <row r="338" spans="1:4" ht="38.25" x14ac:dyDescent="0.2">
      <c r="B338" s="530" t="s">
        <v>1221</v>
      </c>
    </row>
    <row r="342" spans="1:4" x14ac:dyDescent="0.2">
      <c r="A342" s="532" t="s">
        <v>1222</v>
      </c>
    </row>
  </sheetData>
  <sheetProtection algorithmName="SHA-512" hashValue="PVgXCvDu1rt3bU421Ly6oct2G5Nv5vDnHxe7XBiHe1imt4nqpxgryTzgu87X5IhlxaztVm0XPO+0ODznCCScXA==" saltValue="JApHhft4qqB8tDu1PANkJA==" spinCount="100000" sheet="1" objects="1" scenarios="1" selectLockedCells="1" selectUnlockedCells="1"/>
  <mergeCells count="2">
    <mergeCell ref="C66:D66"/>
    <mergeCell ref="C311:D311"/>
  </mergeCells>
  <conditionalFormatting sqref="C74:C77">
    <cfRule type="iconSet" priority="1">
      <iconSet iconSet="4RedToBlack">
        <cfvo type="percent" val="0"/>
        <cfvo type="num" val="$C$76"/>
        <cfvo type="num" val="$C$75"/>
        <cfvo type="num" val="$C$74"/>
      </iconSet>
    </cfRule>
  </conditionalFormatting>
  <dataValidations count="8">
    <dataValidation type="list" allowBlank="1" sqref="C139" xr:uid="{442A9428-A87E-45C7-92D4-76939DE95C3C}">
      <formula1>"YY,aa,JJ,vv,rr"</formula1>
    </dataValidation>
    <dataValidation type="list" allowBlank="1" sqref="C138" xr:uid="{E9101515-0DCB-474C-B55A-B8E376C9DDA3}">
      <formula1>"[$-409]mmm YYYY,mmm aaaa,mmm JJJJ,[$-40C]kkk vvvv,mmm rrrr"</formula1>
    </dataValidation>
    <dataValidation allowBlank="1" showInputMessage="1" showErrorMessage="1" promptTitle="Example Help Text" prompt="Help text like this (created via a data validation message) will tell you more about each of the columns in the Gantt chart worksheet." sqref="C33" xr:uid="{B982FB93-14A9-4968-96DC-6D3FD65BA6E5}"/>
    <dataValidation type="list" allowBlank="1" showInputMessage="1" showErrorMessage="1" sqref="C119 C133" xr:uid="{E95486FA-3F3D-49C8-B68B-13DE82C938CE}">
      <formula1>"Yes,No"</formula1>
    </dataValidation>
    <dataValidation type="list" allowBlank="1" showInputMessage="1" showErrorMessage="1" sqref="C108" xr:uid="{79CF2649-DC23-40F4-B433-282ACEBB70AD}">
      <formula1>"ISO,Sequential"</formula1>
    </dataValidation>
    <dataValidation type="list" allowBlank="1" showInputMessage="1" showErrorMessage="1" sqref="C113" xr:uid="{5C81AC54-31DC-43E6-BC7E-C741B0E0E89B}">
      <formula1>"Sunday,Monday,Tuesday,Wednesday,Thursday,Friday,Saturday"</formula1>
    </dataValidation>
    <dataValidation type="list" allowBlank="1" showInputMessage="1" showErrorMessage="1" sqref="C102" xr:uid="{7069F652-454E-4793-8AAB-E02DBC9E473A}">
      <formula1>"mdy,dmy"</formula1>
    </dataValidation>
    <dataValidation type="list" allowBlank="1" sqref="C82" xr:uid="{F22E7B0A-EB68-488D-8520-EFEAF75BD7B7}">
      <formula1>$C$85:$C$98</formula1>
    </dataValidation>
  </dataValidations>
  <hyperlinks>
    <hyperlink ref="B16" r:id="rId1" location="help" xr:uid="{59E6A1B1-8477-469C-9CAF-357A13545EF2}"/>
    <hyperlink ref="C7" r:id="rId2" location="gantt" display="https://www.vertex42.com/support.html - gantt" xr:uid="{645DBB3A-4D00-4F5C-84EA-EA099262BA15}"/>
    <hyperlink ref="B4" location="'Help &amp; Settings'!A65" display="▸Settings" xr:uid="{635899BE-F1CE-4541-96BD-FFB597FD47AE}"/>
    <hyperlink ref="B5" location="'Help &amp; Settings'!A144" display="▸How To …" xr:uid="{8AC50538-4E75-4858-B392-D721A13C877D}"/>
    <hyperlink ref="B6" location="'Help &amp; Settings'!A310" display="▸FAQs" xr:uid="{B24DD550-A5CA-49AD-BF98-547D22247F44}"/>
    <hyperlink ref="B147" location="'Help &amp; Settings'!A165" display="▸Add Rows (Insert New Tasks)" xr:uid="{FF9DD2D0-2934-454D-85F8-043DD5C02457}"/>
    <hyperlink ref="B148" location="'Help &amp; Settings'!A180" display="▸Delete Rows (Remove Tasks)" xr:uid="{C748655B-61D7-4889-8289-2E6B6368B679}"/>
    <hyperlink ref="B149" location="'Help &amp; Settings'!A184" display="▸Move a Row" xr:uid="{A9A4D144-7E23-4569-A27A-5499EFE75AFF}"/>
    <hyperlink ref="B150" location="'Help &amp; Settings'!A188" display="▸Edit the WBS Numbering" xr:uid="{5A384CFC-69E2-474D-824B-DDEABB7F18DF}"/>
    <hyperlink ref="B151" location="'Help &amp; Settings'!A195" display="▸Create Task Dependencies" xr:uid="{57E9CD01-9AA9-49EE-BE20-6E784E56346C}"/>
    <hyperlink ref="B152" location="'Help &amp; Settings'!A227" display="▸Change the Gantt Chart Bar Colors" xr:uid="{53828566-272D-4F01-B7E4-B139031D7681}"/>
    <hyperlink ref="B153" location="'Help &amp; Settings'!A234" display="▸Use Advanced Formulas in the Color Column" xr:uid="{4034C1B5-EE9D-4A8F-9076-B9CF3FEF67A1}"/>
    <hyperlink ref="B154" location="'Help &amp; Settings'!A263" display="▸Calculate the Start and End dates for a Summary Task" xr:uid="{8625B3C6-943F-44EF-B820-5BDA24BF1777}"/>
    <hyperlink ref="B315" r:id="rId3" location="solutions" xr:uid="{876FB1C9-3036-44A3-8BB3-768319494147}"/>
    <hyperlink ref="B329" r:id="rId4" location="printing" xr:uid="{3C454149-9892-421E-A826-68933D9FE7CA}"/>
    <hyperlink ref="B3" location="'Help &amp; Settings'!A10" display="▸Getting Started" xr:uid="{24BC1AC0-C03F-4438-A892-2EA3F4CC0C16}"/>
    <hyperlink ref="B155" location="'Help &amp; Settings'!A280" display="▸Calculate the %Done for a Summary Task" xr:uid="{B0231AD8-32D4-41CE-B778-7DCD94418CC5}"/>
    <hyperlink ref="C10" location="'Help &amp; Settings'!A1" display="▲" xr:uid="{D5F582D6-4C12-4ABD-A560-BC18CE427B08}"/>
    <hyperlink ref="C65" location="'Help &amp; Settings'!A1" display="▲" xr:uid="{E568AC8D-CDEA-45CB-8152-4CA0C6383D24}"/>
    <hyperlink ref="C144" location="'Help &amp; Settings'!A1" display="▲" xr:uid="{E0492040-71FA-4D9B-9049-158DD42392B8}"/>
    <hyperlink ref="C310" location="'Help &amp; Settings'!A1" display="▲" xr:uid="{545ED213-AEF6-4347-8B92-71E283BA2819}"/>
    <hyperlink ref="C160" location="'Help &amp; Settings'!A144" display="▲ How To..." xr:uid="{D4991C2E-42D6-4A5D-A5FF-23A7E49C22EF}"/>
    <hyperlink ref="B156" location="'Help &amp; Settings'!A296" display="▸Create Budget Subtotals for Summary Tasks" xr:uid="{201C1489-8288-47D9-A36B-7E4B9715E96F}"/>
    <hyperlink ref="B157" location="'Help &amp; Settings'!A301" display="▸Show Planned vs. Actual in the Gantt Chart" xr:uid="{CADEFEB6-8EB3-43BB-B721-67132158330A}"/>
    <hyperlink ref="C179" location="'Help &amp; Settings'!A144" display="▲ How To..." xr:uid="{BD4822B5-1017-480C-A053-BC8BCF6A00B7}"/>
    <hyperlink ref="C183" location="'Help &amp; Settings'!A144" display="▲ How To..." xr:uid="{9A1A195F-22DC-4716-8C64-E205E865E938}"/>
    <hyperlink ref="C187" location="'Help &amp; Settings'!A144" display="▲ How To..." xr:uid="{BEA9C9DF-B321-4BC4-BC01-9894764FFE1F}"/>
    <hyperlink ref="C194" location="'Help &amp; Settings'!A144" display="▲ How To..." xr:uid="{72355CAB-C97E-4C0D-99AC-2636A20A525F}"/>
    <hyperlink ref="C225" location="'Help &amp; Settings'!A144" display="▲ How To..." xr:uid="{856F568F-81F2-4F0A-B889-B53353670467}"/>
    <hyperlink ref="C232" location="'Help &amp; Settings'!A144" display="▲ How To..." xr:uid="{06018349-BF72-45F5-865F-2A8E386AFACB}"/>
    <hyperlink ref="C262" location="'Help &amp; Settings'!A144" display="▲ How To..." xr:uid="{CCB0AD30-DF31-4A44-A6AE-C907186D215B}"/>
    <hyperlink ref="C277" location="'Help &amp; Settings'!A144" display="▲ How To..." xr:uid="{7816E4AA-05F6-46FD-9707-A79176916F74}"/>
    <hyperlink ref="C295" location="'Help &amp; Settings'!A144" display="▲ How To..." xr:uid="{A35ACF08-D799-435B-83B8-09D20E9730E3}"/>
    <hyperlink ref="C301" location="'Help &amp; Settings'!A144" display="▲ How To..." xr:uid="{A1A978FC-3E91-49C0-B9C6-F00F79F12DF0}"/>
  </hyperlinks>
  <pageMargins left="0.3" right="0.3" top="0.25" bottom="0.25" header="0.5" footer="0.5"/>
  <pageSetup scale="80" fitToHeight="0" orientation="portrait" r:id="rId5"/>
  <headerFooter alignWithMargins="0"/>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A4F36-B88B-4518-B46B-FC945C33E8FA}">
  <dimension ref="A1:AE1415"/>
  <sheetViews>
    <sheetView workbookViewId="0">
      <pane xSplit="1" ySplit="5" topLeftCell="B6" activePane="bottomRight" state="frozen"/>
      <selection pane="topRight" activeCell="B1" sqref="B1"/>
      <selection pane="bottomLeft" activeCell="A4" sqref="A4"/>
      <selection pane="bottomRight" activeCell="E2" sqref="E2"/>
    </sheetView>
  </sheetViews>
  <sheetFormatPr defaultRowHeight="15" x14ac:dyDescent="0.25"/>
  <cols>
    <col min="1" max="1" width="4.42578125" style="2" customWidth="1"/>
    <col min="3" max="3" width="43.7109375" bestFit="1" customWidth="1"/>
    <col min="4" max="4" width="14.42578125" style="23" customWidth="1"/>
    <col min="5" max="5" width="18.5703125" style="23" customWidth="1"/>
    <col min="6" max="6" width="16.140625" bestFit="1" customWidth="1"/>
    <col min="7" max="7" width="13.42578125" bestFit="1" customWidth="1"/>
    <col min="8" max="8" width="12.5703125" style="2" customWidth="1"/>
    <col min="9" max="9" width="9.140625" style="2"/>
    <col min="10" max="10" width="38.5703125" style="2" bestFit="1" customWidth="1"/>
    <col min="11" max="11" width="9.140625" style="2"/>
    <col min="12" max="12" width="9.28515625" style="2" bestFit="1" customWidth="1"/>
    <col min="13" max="13" width="4.28515625" style="2" customWidth="1"/>
    <col min="14" max="14" width="3.7109375" style="2" customWidth="1"/>
    <col min="15" max="31" width="9.140625" style="2"/>
  </cols>
  <sheetData>
    <row r="1" spans="2:19" x14ac:dyDescent="0.25">
      <c r="B1" s="2"/>
      <c r="C1" s="2"/>
      <c r="D1" s="166"/>
      <c r="E1" s="166"/>
      <c r="F1" s="2"/>
    </row>
    <row r="2" spans="2:19" x14ac:dyDescent="0.25">
      <c r="B2" s="2"/>
      <c r="C2" s="536" t="s">
        <v>354</v>
      </c>
      <c r="D2" s="536"/>
      <c r="E2" s="288">
        <v>0</v>
      </c>
      <c r="G2" s="138"/>
      <c r="H2" s="152" t="s">
        <v>1227</v>
      </c>
    </row>
    <row r="3" spans="2:19" x14ac:dyDescent="0.25">
      <c r="B3" s="2"/>
      <c r="C3" s="2"/>
      <c r="D3" s="166"/>
      <c r="E3" s="166"/>
      <c r="F3" s="2"/>
      <c r="G3" s="197" t="s">
        <v>675</v>
      </c>
      <c r="H3" s="198">
        <f>G6+G7+G8+G11+G12+G14+G48+G51+G76+G77+G82+G87+G101+G112+G124+G127+G142+G147+G156+G48+G76+G112</f>
        <v>3209227.44</v>
      </c>
    </row>
    <row r="4" spans="2:19" ht="15.75" thickBot="1" x14ac:dyDescent="0.3">
      <c r="B4" s="537" t="s">
        <v>351</v>
      </c>
      <c r="C4" s="538"/>
      <c r="D4" s="538"/>
      <c r="E4" s="538"/>
      <c r="F4" s="538"/>
      <c r="G4" s="2"/>
      <c r="I4" s="153"/>
    </row>
    <row r="5" spans="2:19" ht="15.75" thickBot="1" x14ac:dyDescent="0.3">
      <c r="B5" s="134" t="s">
        <v>298</v>
      </c>
      <c r="C5" s="135" t="s">
        <v>297</v>
      </c>
      <c r="D5" s="135" t="s">
        <v>352</v>
      </c>
      <c r="E5" s="135" t="s">
        <v>353</v>
      </c>
      <c r="F5" s="135" t="s">
        <v>356</v>
      </c>
      <c r="G5" s="136" t="s">
        <v>355</v>
      </c>
      <c r="H5" s="154"/>
    </row>
    <row r="6" spans="2:19" x14ac:dyDescent="0.25">
      <c r="B6" s="138">
        <v>1</v>
      </c>
      <c r="C6" s="1" t="s">
        <v>358</v>
      </c>
      <c r="D6" s="137">
        <f t="shared" ref="D6:D11" si="0">150000/1.2325</f>
        <v>121703.85395537526</v>
      </c>
      <c r="E6" s="137">
        <f t="shared" ref="E6:E12" si="1">D6*1.2325</f>
        <v>150000</v>
      </c>
      <c r="F6" s="137">
        <f t="shared" ref="F6:F7" si="2">E6+(E6*$E$2)</f>
        <v>150000</v>
      </c>
      <c r="G6" s="137">
        <f t="shared" ref="G6:G7" si="3">(((F6/$K$20)+ ((F6/$K$20)*$K$24)+ ((F6/$K$20)*$K$25)+ ((F6/$K$20)*$K$26)+ ((F6/$K$20)*($K$29/1000))+ ((F6/$K$20)*($K$30/100)))*$K$20)+$L$37</f>
        <v>218228.51999999996</v>
      </c>
      <c r="H6" s="155"/>
      <c r="I6" s="32" t="s">
        <v>295</v>
      </c>
      <c r="J6" s="31"/>
      <c r="K6" s="31"/>
      <c r="L6" s="31"/>
      <c r="M6" s="31"/>
      <c r="N6" s="31"/>
      <c r="O6" s="31"/>
      <c r="P6" s="31"/>
      <c r="Q6" s="31"/>
      <c r="R6" s="31"/>
      <c r="S6" s="30"/>
    </row>
    <row r="7" spans="2:19" x14ac:dyDescent="0.25">
      <c r="B7" s="138">
        <f>B6+1</f>
        <v>2</v>
      </c>
      <c r="C7" s="1" t="s">
        <v>359</v>
      </c>
      <c r="D7" s="137">
        <f t="shared" si="0"/>
        <v>121703.85395537526</v>
      </c>
      <c r="E7" s="137">
        <f t="shared" si="1"/>
        <v>150000</v>
      </c>
      <c r="F7" s="137">
        <f t="shared" si="2"/>
        <v>150000</v>
      </c>
      <c r="G7" s="137">
        <f t="shared" si="3"/>
        <v>218228.51999999996</v>
      </c>
      <c r="H7" s="155"/>
      <c r="I7" s="28" t="s">
        <v>293</v>
      </c>
      <c r="S7" s="27"/>
    </row>
    <row r="8" spans="2:19" x14ac:dyDescent="0.25">
      <c r="B8" s="138">
        <f>B7+1</f>
        <v>3</v>
      </c>
      <c r="C8" s="1" t="s">
        <v>360</v>
      </c>
      <c r="D8" s="137">
        <f t="shared" si="0"/>
        <v>121703.85395537526</v>
      </c>
      <c r="E8" s="137">
        <f t="shared" si="1"/>
        <v>150000</v>
      </c>
      <c r="F8" s="137">
        <f t="shared" ref="F8:F10" si="4">E8+(E8*$E$2)</f>
        <v>150000</v>
      </c>
      <c r="G8" s="137">
        <f t="shared" ref="G8:G10" si="5">(((F8/$K$20)+ ((F8/$K$20)*$K$24)+ ((F8/$K$20)*$K$25)+ ((F8/$K$20)*$K$26)+ ((F8/$K$20)*($K$29/1000))+ ((F8/$K$20)*($K$30/100)))*$K$20)+$L$37</f>
        <v>218228.51999999996</v>
      </c>
      <c r="H8" s="155"/>
      <c r="I8" s="28"/>
      <c r="S8" s="27"/>
    </row>
    <row r="9" spans="2:19" x14ac:dyDescent="0.25">
      <c r="B9" s="25">
        <f t="shared" ref="B9:B74" si="6">B8+1</f>
        <v>4</v>
      </c>
      <c r="C9" s="8" t="s">
        <v>361</v>
      </c>
      <c r="D9" s="24">
        <f t="shared" si="0"/>
        <v>121703.85395537526</v>
      </c>
      <c r="E9" s="24">
        <f t="shared" si="1"/>
        <v>150000</v>
      </c>
      <c r="F9" s="24">
        <f t="shared" si="4"/>
        <v>150000</v>
      </c>
      <c r="G9" s="24">
        <f t="shared" si="5"/>
        <v>218228.51999999996</v>
      </c>
      <c r="H9" s="155"/>
      <c r="I9" s="28" t="s">
        <v>348</v>
      </c>
      <c r="S9" s="27"/>
    </row>
    <row r="10" spans="2:19" x14ac:dyDescent="0.25">
      <c r="B10" s="25">
        <f t="shared" si="6"/>
        <v>5</v>
      </c>
      <c r="C10" s="8" t="s">
        <v>362</v>
      </c>
      <c r="D10" s="24">
        <f t="shared" si="0"/>
        <v>121703.85395537526</v>
      </c>
      <c r="E10" s="24">
        <f t="shared" si="1"/>
        <v>150000</v>
      </c>
      <c r="F10" s="24">
        <f t="shared" si="4"/>
        <v>150000</v>
      </c>
      <c r="G10" s="24">
        <f t="shared" si="5"/>
        <v>218228.51999999996</v>
      </c>
      <c r="H10" s="155"/>
      <c r="I10" s="335" t="s">
        <v>806</v>
      </c>
      <c r="S10" s="27"/>
    </row>
    <row r="11" spans="2:19" x14ac:dyDescent="0.25">
      <c r="B11" s="138">
        <f t="shared" si="6"/>
        <v>6</v>
      </c>
      <c r="C11" s="1" t="s">
        <v>377</v>
      </c>
      <c r="D11" s="137">
        <f t="shared" si="0"/>
        <v>121703.85395537526</v>
      </c>
      <c r="E11" s="137">
        <f t="shared" si="1"/>
        <v>150000</v>
      </c>
      <c r="F11" s="137">
        <f t="shared" ref="F11" si="7">E11+(E11*$E$2)</f>
        <v>150000</v>
      </c>
      <c r="G11" s="137">
        <f t="shared" ref="G11" si="8">(((F11/$K$20)+ ((F11/$K$20)*$K$24)+ ((F11/$K$20)*$K$25)+ ((F11/$K$20)*$K$26)+ ((F11/$K$20)*($K$29/1000))+ ((F11/$K$20)*($K$30/100)))*$K$20)+$L$37</f>
        <v>218228.51999999996</v>
      </c>
      <c r="H11" s="156"/>
      <c r="I11" s="335" t="s">
        <v>807</v>
      </c>
      <c r="S11" s="27"/>
    </row>
    <row r="12" spans="2:19" x14ac:dyDescent="0.25">
      <c r="B12" s="138">
        <f t="shared" si="6"/>
        <v>7</v>
      </c>
      <c r="C12" s="1" t="s">
        <v>363</v>
      </c>
      <c r="D12" s="137">
        <f>120000/1.2325</f>
        <v>97363.083164300202</v>
      </c>
      <c r="E12" s="137">
        <f t="shared" si="1"/>
        <v>119999.99999999999</v>
      </c>
      <c r="F12" s="137">
        <f t="shared" ref="F12" si="9">E12+(E12*$E$2)</f>
        <v>119999.99999999999</v>
      </c>
      <c r="G12" s="137">
        <f t="shared" ref="G12" si="10">(((F12/$K$20)+ ((F12/$K$20)*$K$24)+ ((F12/$K$20)*$K$25)+ ((F12/$K$20)*$K$26)+ ((F12/$K$20)*($K$29/1000))+ ((F12/$K$20)*($K$30/100)))*$K$20)+$L$37</f>
        <v>178433.52</v>
      </c>
      <c r="H12" s="155"/>
      <c r="I12" s="29"/>
      <c r="S12" s="27"/>
    </row>
    <row r="13" spans="2:19" x14ac:dyDescent="0.25">
      <c r="B13" s="25">
        <f t="shared" si="6"/>
        <v>8</v>
      </c>
      <c r="C13" s="8" t="s">
        <v>369</v>
      </c>
      <c r="D13" s="24">
        <v>108000</v>
      </c>
      <c r="E13" s="24">
        <f>D13*1.2325</f>
        <v>133110</v>
      </c>
      <c r="F13" s="24">
        <f t="shared" ref="F13:F40" si="11">E13+(E13*$E$2)</f>
        <v>133110</v>
      </c>
      <c r="G13" s="24">
        <f t="shared" ref="G13:G40" si="12">(((F13/$K$20)+ ((F13/$K$20)*$K$24)+ ((F13/$K$20)*$K$25)+ ((F13/$K$20)*$K$26)+ ((F13/$K$20)*($K$29/1000))+ ((F13/$K$20)*($K$30/100)))*$K$20)+$L$37</f>
        <v>195823.93499999997</v>
      </c>
      <c r="H13" s="155"/>
      <c r="I13" s="28" t="s">
        <v>349</v>
      </c>
      <c r="S13" s="27"/>
    </row>
    <row r="14" spans="2:19" x14ac:dyDescent="0.25">
      <c r="B14" s="138">
        <f t="shared" si="6"/>
        <v>9</v>
      </c>
      <c r="C14" s="1" t="s">
        <v>365</v>
      </c>
      <c r="D14" s="137">
        <f>100000/1.2325</f>
        <v>81135.902636916842</v>
      </c>
      <c r="E14" s="137">
        <f>D14*1.2325</f>
        <v>100000</v>
      </c>
      <c r="F14" s="137">
        <f t="shared" si="11"/>
        <v>100000</v>
      </c>
      <c r="G14" s="137">
        <f t="shared" si="12"/>
        <v>151903.51999999999</v>
      </c>
      <c r="H14" s="155"/>
      <c r="I14" s="335" t="s">
        <v>808</v>
      </c>
      <c r="S14" s="27"/>
    </row>
    <row r="15" spans="2:19" x14ac:dyDescent="0.25">
      <c r="B15" s="25">
        <f t="shared" si="6"/>
        <v>10</v>
      </c>
      <c r="C15" s="8" t="s">
        <v>389</v>
      </c>
      <c r="D15" s="24">
        <v>63000</v>
      </c>
      <c r="E15" s="24">
        <v>71400</v>
      </c>
      <c r="F15" s="24">
        <f t="shared" si="11"/>
        <v>71400</v>
      </c>
      <c r="G15" s="24">
        <f t="shared" si="12"/>
        <v>113965.62000000002</v>
      </c>
      <c r="H15" s="155"/>
      <c r="I15" s="335" t="s">
        <v>806</v>
      </c>
      <c r="S15" s="27"/>
    </row>
    <row r="16" spans="2:19" ht="15.75" thickBot="1" x14ac:dyDescent="0.3">
      <c r="B16" s="25">
        <f t="shared" si="6"/>
        <v>11</v>
      </c>
      <c r="C16" s="8" t="s">
        <v>364</v>
      </c>
      <c r="D16" s="24">
        <v>51800</v>
      </c>
      <c r="E16" s="24">
        <v>55400</v>
      </c>
      <c r="F16" s="24">
        <f t="shared" si="11"/>
        <v>55400</v>
      </c>
      <c r="G16" s="24">
        <f t="shared" si="12"/>
        <v>92741.62</v>
      </c>
      <c r="H16" s="155"/>
      <c r="I16" s="129"/>
      <c r="J16" s="130"/>
      <c r="K16" s="130"/>
      <c r="L16" s="130"/>
      <c r="M16" s="130"/>
      <c r="N16" s="130"/>
      <c r="O16" s="130"/>
      <c r="P16" s="130"/>
      <c r="Q16" s="130"/>
      <c r="R16" s="130"/>
      <c r="S16" s="26"/>
    </row>
    <row r="17" spans="2:27" ht="15.75" thickBot="1" x14ac:dyDescent="0.3">
      <c r="B17" s="25">
        <f t="shared" si="6"/>
        <v>12</v>
      </c>
      <c r="C17" s="8" t="s">
        <v>366</v>
      </c>
      <c r="D17" s="24">
        <v>65700</v>
      </c>
      <c r="E17" s="24">
        <v>75500</v>
      </c>
      <c r="F17" s="24">
        <f t="shared" si="11"/>
        <v>75500</v>
      </c>
      <c r="G17" s="24">
        <f t="shared" si="12"/>
        <v>119404.27</v>
      </c>
      <c r="H17" s="155"/>
      <c r="T17" s="130"/>
      <c r="U17" s="130"/>
      <c r="V17" s="130"/>
      <c r="W17" s="130"/>
      <c r="X17" s="130"/>
      <c r="Y17" s="130"/>
      <c r="Z17" s="130"/>
      <c r="AA17" s="130"/>
    </row>
    <row r="18" spans="2:27" x14ac:dyDescent="0.25">
      <c r="B18" s="25">
        <f t="shared" si="6"/>
        <v>13</v>
      </c>
      <c r="C18" s="8" t="s">
        <v>367</v>
      </c>
      <c r="D18" s="24">
        <v>111000</v>
      </c>
      <c r="E18" s="24">
        <v>122000</v>
      </c>
      <c r="F18" s="24">
        <f t="shared" si="11"/>
        <v>122000</v>
      </c>
      <c r="G18" s="24">
        <f t="shared" si="12"/>
        <v>181086.51999999996</v>
      </c>
      <c r="H18" s="155"/>
      <c r="J18" s="32"/>
      <c r="K18" s="31"/>
      <c r="L18" s="31"/>
      <c r="M18" s="31"/>
      <c r="N18" s="31"/>
      <c r="O18" s="31"/>
      <c r="P18" s="31"/>
      <c r="Q18" s="31"/>
      <c r="R18" s="31"/>
      <c r="S18" s="31"/>
      <c r="AA18" s="27"/>
    </row>
    <row r="19" spans="2:27" x14ac:dyDescent="0.25">
      <c r="B19" s="25">
        <f t="shared" si="6"/>
        <v>14</v>
      </c>
      <c r="C19" s="8" t="s">
        <v>368</v>
      </c>
      <c r="D19" s="24">
        <v>69800</v>
      </c>
      <c r="E19" s="24">
        <v>74000</v>
      </c>
      <c r="F19" s="24">
        <f t="shared" si="11"/>
        <v>74000</v>
      </c>
      <c r="G19" s="24">
        <f t="shared" si="12"/>
        <v>117414.51999999999</v>
      </c>
      <c r="H19" s="155"/>
      <c r="J19" s="131" t="s">
        <v>0</v>
      </c>
      <c r="L19" s="157">
        <v>75000</v>
      </c>
      <c r="O19" s="2" t="s">
        <v>1</v>
      </c>
      <c r="AA19" s="27"/>
    </row>
    <row r="20" spans="2:27" x14ac:dyDescent="0.25">
      <c r="B20" s="25">
        <f t="shared" si="6"/>
        <v>15</v>
      </c>
      <c r="C20" s="8" t="s">
        <v>370</v>
      </c>
      <c r="D20" s="24">
        <v>78800</v>
      </c>
      <c r="E20" s="24">
        <v>83500</v>
      </c>
      <c r="F20" s="24">
        <f t="shared" si="11"/>
        <v>83500</v>
      </c>
      <c r="G20" s="24">
        <f t="shared" si="12"/>
        <v>130016.26999999997</v>
      </c>
      <c r="H20" s="155"/>
      <c r="J20" s="131" t="s">
        <v>2</v>
      </c>
      <c r="K20" s="158">
        <v>2080</v>
      </c>
      <c r="O20" s="2" t="s">
        <v>3</v>
      </c>
      <c r="AA20" s="27"/>
    </row>
    <row r="21" spans="2:27" x14ac:dyDescent="0.25">
      <c r="B21" s="25">
        <f t="shared" si="6"/>
        <v>16</v>
      </c>
      <c r="C21" s="8" t="s">
        <v>387</v>
      </c>
      <c r="D21" s="24">
        <v>89500</v>
      </c>
      <c r="E21" s="24">
        <v>108000</v>
      </c>
      <c r="F21" s="24">
        <f t="shared" si="11"/>
        <v>108000</v>
      </c>
      <c r="G21" s="24">
        <f t="shared" si="12"/>
        <v>162515.51999999999</v>
      </c>
      <c r="H21" s="155"/>
      <c r="J21" s="131" t="s">
        <v>4</v>
      </c>
      <c r="L21" s="159">
        <f>L19/K20</f>
        <v>36.057692307692307</v>
      </c>
      <c r="O21" s="2" t="s">
        <v>5</v>
      </c>
      <c r="AA21" s="27"/>
    </row>
    <row r="22" spans="2:27" x14ac:dyDescent="0.25">
      <c r="B22" s="25">
        <f t="shared" si="6"/>
        <v>17</v>
      </c>
      <c r="C22" s="8" t="s">
        <v>390</v>
      </c>
      <c r="D22" s="24">
        <v>110000</v>
      </c>
      <c r="E22" s="24">
        <v>113000</v>
      </c>
      <c r="F22" s="24">
        <f t="shared" si="11"/>
        <v>113000</v>
      </c>
      <c r="G22" s="24">
        <f t="shared" si="12"/>
        <v>169148.02000000002</v>
      </c>
      <c r="H22" s="155"/>
      <c r="J22" s="28"/>
      <c r="L22" s="20"/>
      <c r="O22" s="2" t="s">
        <v>6</v>
      </c>
      <c r="AA22" s="27"/>
    </row>
    <row r="23" spans="2:27" x14ac:dyDescent="0.25">
      <c r="B23" s="25">
        <f t="shared" si="6"/>
        <v>18</v>
      </c>
      <c r="C23" s="8" t="s">
        <v>391</v>
      </c>
      <c r="D23" s="24">
        <v>88300</v>
      </c>
      <c r="E23" s="24">
        <v>90600</v>
      </c>
      <c r="F23" s="24">
        <f t="shared" si="11"/>
        <v>90600</v>
      </c>
      <c r="G23" s="24">
        <f t="shared" si="12"/>
        <v>139434.41999999998</v>
      </c>
      <c r="H23" s="155"/>
      <c r="J23" s="131" t="s">
        <v>7</v>
      </c>
      <c r="L23" s="20"/>
      <c r="O23" s="2" t="s">
        <v>8</v>
      </c>
      <c r="AA23" s="27"/>
    </row>
    <row r="24" spans="2:27" x14ac:dyDescent="0.25">
      <c r="B24" s="25">
        <f t="shared" si="6"/>
        <v>19</v>
      </c>
      <c r="C24" s="8" t="s">
        <v>392</v>
      </c>
      <c r="D24" s="24">
        <v>72000</v>
      </c>
      <c r="E24" s="24">
        <v>84600</v>
      </c>
      <c r="F24" s="24">
        <f t="shared" si="11"/>
        <v>84600</v>
      </c>
      <c r="G24" s="24">
        <f t="shared" si="12"/>
        <v>131475.42000000001</v>
      </c>
      <c r="H24" s="155"/>
      <c r="J24" s="132" t="s">
        <v>9</v>
      </c>
      <c r="K24" s="160">
        <v>7.6499999999999999E-2</v>
      </c>
      <c r="L24" s="159">
        <f>L21*K24</f>
        <v>2.7584134615384612</v>
      </c>
      <c r="O24" s="2" t="s">
        <v>10</v>
      </c>
      <c r="AA24" s="27"/>
    </row>
    <row r="25" spans="2:27" x14ac:dyDescent="0.25">
      <c r="B25" s="25">
        <f t="shared" si="6"/>
        <v>20</v>
      </c>
      <c r="C25" s="8" t="s">
        <v>393</v>
      </c>
      <c r="D25" s="24">
        <v>72100</v>
      </c>
      <c r="E25" s="24">
        <v>87700</v>
      </c>
      <c r="F25" s="24">
        <f t="shared" si="11"/>
        <v>87700</v>
      </c>
      <c r="G25" s="24">
        <f t="shared" si="12"/>
        <v>135587.57</v>
      </c>
      <c r="H25" s="155"/>
      <c r="J25" s="132" t="s">
        <v>11</v>
      </c>
      <c r="K25" s="160">
        <v>6.2E-2</v>
      </c>
      <c r="L25" s="159">
        <f>L21*K25</f>
        <v>2.2355769230769229</v>
      </c>
      <c r="O25" s="2" t="s">
        <v>21</v>
      </c>
      <c r="AA25" s="27"/>
    </row>
    <row r="26" spans="2:27" x14ac:dyDescent="0.25">
      <c r="B26" s="25">
        <f t="shared" si="6"/>
        <v>21</v>
      </c>
      <c r="C26" s="8" t="s">
        <v>376</v>
      </c>
      <c r="D26" s="24">
        <v>61600</v>
      </c>
      <c r="E26" s="24">
        <v>69600</v>
      </c>
      <c r="F26" s="24">
        <f t="shared" si="11"/>
        <v>69600</v>
      </c>
      <c r="G26" s="24">
        <f t="shared" si="12"/>
        <v>111577.92</v>
      </c>
      <c r="H26" s="155"/>
      <c r="J26" s="132" t="s">
        <v>12</v>
      </c>
      <c r="K26" s="160">
        <v>3.4000000000000002E-2</v>
      </c>
      <c r="L26" s="159">
        <f>L21*K26</f>
        <v>1.2259615384615385</v>
      </c>
      <c r="O26" s="336" t="s">
        <v>809</v>
      </c>
      <c r="AA26" s="27"/>
    </row>
    <row r="27" spans="2:27" x14ac:dyDescent="0.25">
      <c r="B27" s="25">
        <f t="shared" si="6"/>
        <v>22</v>
      </c>
      <c r="C27" s="8" t="s">
        <v>394</v>
      </c>
      <c r="D27" s="24">
        <v>136000</v>
      </c>
      <c r="E27" s="24">
        <v>156000</v>
      </c>
      <c r="F27" s="24">
        <f t="shared" si="11"/>
        <v>156000</v>
      </c>
      <c r="G27" s="24">
        <f t="shared" si="12"/>
        <v>226187.51999999999</v>
      </c>
      <c r="H27" s="155"/>
      <c r="J27" s="28"/>
      <c r="L27" s="20"/>
      <c r="AA27" s="27"/>
    </row>
    <row r="28" spans="2:27" x14ac:dyDescent="0.25">
      <c r="B28" s="25">
        <f t="shared" si="6"/>
        <v>23</v>
      </c>
      <c r="C28" s="8" t="s">
        <v>371</v>
      </c>
      <c r="D28" s="24">
        <v>128000</v>
      </c>
      <c r="E28" s="24">
        <v>132000</v>
      </c>
      <c r="F28" s="24">
        <f t="shared" si="11"/>
        <v>132000</v>
      </c>
      <c r="G28" s="24">
        <f t="shared" si="12"/>
        <v>194351.52</v>
      </c>
      <c r="H28" s="155"/>
      <c r="J28" s="131" t="s">
        <v>13</v>
      </c>
      <c r="L28" s="20"/>
      <c r="O28" s="2" t="s">
        <v>22</v>
      </c>
      <c r="AA28" s="27"/>
    </row>
    <row r="29" spans="2:27" x14ac:dyDescent="0.25">
      <c r="B29" s="25">
        <f t="shared" si="6"/>
        <v>24</v>
      </c>
      <c r="C29" s="8" t="s">
        <v>372</v>
      </c>
      <c r="D29" s="24">
        <v>50600</v>
      </c>
      <c r="E29" s="24">
        <v>56800</v>
      </c>
      <c r="F29" s="24">
        <f t="shared" si="11"/>
        <v>56800</v>
      </c>
      <c r="G29" s="24">
        <f t="shared" si="12"/>
        <v>94598.720000000001</v>
      </c>
      <c r="H29" s="155"/>
      <c r="J29" s="133" t="s">
        <v>14</v>
      </c>
      <c r="K29" s="161">
        <v>4</v>
      </c>
      <c r="L29" s="159">
        <f>L21*(K29/1000)</f>
        <v>0.14423076923076922</v>
      </c>
      <c r="AA29" s="27"/>
    </row>
    <row r="30" spans="2:27" x14ac:dyDescent="0.25">
      <c r="B30" s="25">
        <f t="shared" si="6"/>
        <v>25</v>
      </c>
      <c r="C30" s="8" t="s">
        <v>373</v>
      </c>
      <c r="D30" s="24">
        <v>52800</v>
      </c>
      <c r="E30" s="24">
        <v>60800</v>
      </c>
      <c r="F30" s="24">
        <f t="shared" si="11"/>
        <v>60800</v>
      </c>
      <c r="G30" s="24">
        <f t="shared" si="12"/>
        <v>99904.72000000003</v>
      </c>
      <c r="H30" s="155"/>
      <c r="J30" s="133" t="s">
        <v>15</v>
      </c>
      <c r="K30" s="161">
        <v>15</v>
      </c>
      <c r="L30" s="159">
        <f>L21*(K30/100)</f>
        <v>5.4086538461538458</v>
      </c>
      <c r="O30" s="2" t="s">
        <v>118</v>
      </c>
      <c r="AA30" s="27"/>
    </row>
    <row r="31" spans="2:27" x14ac:dyDescent="0.25">
      <c r="B31" s="25">
        <f t="shared" si="6"/>
        <v>26</v>
      </c>
      <c r="C31" s="8" t="s">
        <v>374</v>
      </c>
      <c r="D31" s="24">
        <v>93500</v>
      </c>
      <c r="E31" s="24">
        <v>103000</v>
      </c>
      <c r="F31" s="24">
        <f t="shared" si="11"/>
        <v>103000</v>
      </c>
      <c r="G31" s="24">
        <f t="shared" si="12"/>
        <v>155883.01999999999</v>
      </c>
      <c r="H31" s="155"/>
      <c r="J31" s="28"/>
      <c r="L31" s="20"/>
      <c r="O31" s="2" t="s">
        <v>119</v>
      </c>
      <c r="AA31" s="27"/>
    </row>
    <row r="32" spans="2:27" x14ac:dyDescent="0.25">
      <c r="B32" s="25">
        <f t="shared" si="6"/>
        <v>27</v>
      </c>
      <c r="C32" s="8" t="s">
        <v>395</v>
      </c>
      <c r="D32" s="24">
        <v>111000</v>
      </c>
      <c r="E32" s="24">
        <v>128000</v>
      </c>
      <c r="F32" s="24">
        <f t="shared" si="11"/>
        <v>128000</v>
      </c>
      <c r="G32" s="24">
        <f t="shared" si="12"/>
        <v>189045.52</v>
      </c>
      <c r="H32" s="155"/>
      <c r="J32" s="131" t="s">
        <v>16</v>
      </c>
      <c r="L32" s="159">
        <f>SUM(L21+L24+L25+L26+L29+L30)</f>
        <v>47.83052884615384</v>
      </c>
      <c r="AA32" s="27"/>
    </row>
    <row r="33" spans="2:27" x14ac:dyDescent="0.25">
      <c r="B33" s="25">
        <f t="shared" si="6"/>
        <v>28</v>
      </c>
      <c r="C33" s="8" t="s">
        <v>396</v>
      </c>
      <c r="D33" s="24">
        <v>83200</v>
      </c>
      <c r="E33" s="24">
        <v>93100</v>
      </c>
      <c r="F33" s="24">
        <f t="shared" si="11"/>
        <v>93100</v>
      </c>
      <c r="G33" s="24">
        <f t="shared" si="12"/>
        <v>142750.67000000001</v>
      </c>
      <c r="H33" s="155"/>
      <c r="J33" s="28"/>
      <c r="L33" s="20"/>
      <c r="O33" s="2" t="s">
        <v>120</v>
      </c>
      <c r="AA33" s="27"/>
    </row>
    <row r="34" spans="2:27" x14ac:dyDescent="0.25">
      <c r="B34" s="25">
        <f t="shared" si="6"/>
        <v>29</v>
      </c>
      <c r="C34" s="8" t="s">
        <v>751</v>
      </c>
      <c r="D34" s="24">
        <v>95100</v>
      </c>
      <c r="E34" s="24">
        <v>104000</v>
      </c>
      <c r="F34" s="24">
        <f t="shared" si="11"/>
        <v>104000</v>
      </c>
      <c r="G34" s="24">
        <f t="shared" si="12"/>
        <v>157209.52000000002</v>
      </c>
      <c r="H34" s="155"/>
      <c r="J34" s="131" t="s">
        <v>17</v>
      </c>
      <c r="L34" s="159">
        <f>L32-L21</f>
        <v>11.772836538461533</v>
      </c>
      <c r="AA34" s="27"/>
    </row>
    <row r="35" spans="2:27" x14ac:dyDescent="0.25">
      <c r="B35" s="25">
        <f t="shared" si="6"/>
        <v>30</v>
      </c>
      <c r="C35" s="8" t="s">
        <v>375</v>
      </c>
      <c r="D35" s="24">
        <v>61800</v>
      </c>
      <c r="E35" s="24">
        <v>71200</v>
      </c>
      <c r="F35" s="24">
        <f t="shared" si="11"/>
        <v>71200</v>
      </c>
      <c r="G35" s="24">
        <f t="shared" si="12"/>
        <v>113700.32</v>
      </c>
      <c r="H35" s="155"/>
      <c r="J35" s="131" t="s">
        <v>18</v>
      </c>
      <c r="L35" s="162">
        <f>L32*K20</f>
        <v>99487.499999999985</v>
      </c>
      <c r="O35" s="2" t="s">
        <v>357</v>
      </c>
      <c r="AA35" s="27"/>
    </row>
    <row r="36" spans="2:27" x14ac:dyDescent="0.25">
      <c r="B36" s="25">
        <f t="shared" si="6"/>
        <v>31</v>
      </c>
      <c r="C36" s="8" t="s">
        <v>386</v>
      </c>
      <c r="D36" s="24">
        <v>60200</v>
      </c>
      <c r="E36" s="24">
        <v>62200</v>
      </c>
      <c r="F36" s="24">
        <f t="shared" si="11"/>
        <v>62200</v>
      </c>
      <c r="G36" s="24">
        <f t="shared" si="12"/>
        <v>101761.81999999999</v>
      </c>
      <c r="H36" s="155"/>
      <c r="J36" s="132" t="s">
        <v>31</v>
      </c>
      <c r="K36" s="160">
        <v>0.72599999999999998</v>
      </c>
      <c r="L36" s="20"/>
      <c r="O36" s="337" t="s">
        <v>810</v>
      </c>
      <c r="AA36" s="27"/>
    </row>
    <row r="37" spans="2:27" x14ac:dyDescent="0.25">
      <c r="B37" s="25">
        <f t="shared" si="6"/>
        <v>32</v>
      </c>
      <c r="C37" s="8" t="s">
        <v>397</v>
      </c>
      <c r="D37" s="24">
        <v>39100</v>
      </c>
      <c r="E37" s="24">
        <v>48600</v>
      </c>
      <c r="F37" s="24">
        <f t="shared" si="11"/>
        <v>48600</v>
      </c>
      <c r="G37" s="24">
        <f t="shared" si="12"/>
        <v>83721.420000000013</v>
      </c>
      <c r="H37" s="155"/>
      <c r="J37" s="132" t="s">
        <v>19</v>
      </c>
      <c r="K37" s="157">
        <v>26520</v>
      </c>
      <c r="L37" s="162">
        <f>K37*K36</f>
        <v>19253.52</v>
      </c>
      <c r="AA37" s="27"/>
    </row>
    <row r="38" spans="2:27" x14ac:dyDescent="0.25">
      <c r="B38" s="25">
        <f t="shared" si="6"/>
        <v>33</v>
      </c>
      <c r="C38" s="8" t="s">
        <v>388</v>
      </c>
      <c r="D38" s="24">
        <v>84200</v>
      </c>
      <c r="E38" s="24">
        <v>97400</v>
      </c>
      <c r="F38" s="24">
        <f t="shared" si="11"/>
        <v>97400</v>
      </c>
      <c r="G38" s="24">
        <f t="shared" si="12"/>
        <v>148454.62</v>
      </c>
      <c r="H38" s="163"/>
      <c r="J38" s="131" t="s">
        <v>20</v>
      </c>
      <c r="L38" s="162">
        <f>L35+L37</f>
        <v>118741.01999999999</v>
      </c>
      <c r="P38" s="16"/>
      <c r="AA38" s="27"/>
    </row>
    <row r="39" spans="2:27" x14ac:dyDescent="0.25">
      <c r="B39" s="25">
        <f t="shared" si="6"/>
        <v>34</v>
      </c>
      <c r="C39" s="8" t="s">
        <v>398</v>
      </c>
      <c r="D39" s="24">
        <v>79200</v>
      </c>
      <c r="E39" s="24">
        <v>89500</v>
      </c>
      <c r="F39" s="24">
        <f t="shared" si="11"/>
        <v>89500</v>
      </c>
      <c r="G39" s="24">
        <f t="shared" si="12"/>
        <v>137975.26999999999</v>
      </c>
      <c r="H39" s="163"/>
      <c r="J39" s="28"/>
      <c r="P39" s="17"/>
      <c r="AA39" s="27"/>
    </row>
    <row r="40" spans="2:27" x14ac:dyDescent="0.25">
      <c r="B40" s="25">
        <f t="shared" si="6"/>
        <v>35</v>
      </c>
      <c r="C40" s="8" t="s">
        <v>296</v>
      </c>
      <c r="D40" s="24">
        <v>61500</v>
      </c>
      <c r="E40" s="24">
        <v>68100</v>
      </c>
      <c r="F40" s="24">
        <f t="shared" si="11"/>
        <v>68100</v>
      </c>
      <c r="G40" s="24">
        <f t="shared" si="12"/>
        <v>109588.17</v>
      </c>
      <c r="H40" s="163"/>
      <c r="J40" s="132" t="s">
        <v>116</v>
      </c>
      <c r="L40" s="164">
        <f>(($L$35-$L$19))/$L$19</f>
        <v>0.32649999999999979</v>
      </c>
      <c r="AA40" s="27"/>
    </row>
    <row r="41" spans="2:27" x14ac:dyDescent="0.25">
      <c r="B41" s="25">
        <f t="shared" si="6"/>
        <v>36</v>
      </c>
      <c r="C41" s="8" t="s">
        <v>294</v>
      </c>
      <c r="D41" s="24">
        <v>76500</v>
      </c>
      <c r="E41" s="24">
        <v>89300</v>
      </c>
      <c r="F41" s="24">
        <f t="shared" ref="F41:F108" si="13">E41+(E41*$E$2)</f>
        <v>89300</v>
      </c>
      <c r="G41" s="24">
        <f t="shared" ref="G41:G108" si="14">(((F41/$K$20)+ ((F41/$K$20)*$K$24)+ ((F41/$K$20)*$K$25)+ ((F41/$K$20)*$K$26)+ ((F41/$K$20)*($K$29/1000))+ ((F41/$K$20)*($K$30/100)))*$K$20)+$L$37</f>
        <v>137709.97</v>
      </c>
      <c r="H41" s="163"/>
      <c r="J41" s="132" t="s">
        <v>117</v>
      </c>
      <c r="L41" s="164">
        <f>(($L$38-$L$19))/$L$19</f>
        <v>0.58321359999999989</v>
      </c>
      <c r="AA41" s="27"/>
    </row>
    <row r="42" spans="2:27" x14ac:dyDescent="0.25">
      <c r="B42" s="25">
        <f t="shared" si="6"/>
        <v>37</v>
      </c>
      <c r="C42" s="8" t="s">
        <v>292</v>
      </c>
      <c r="D42" s="24">
        <v>27700</v>
      </c>
      <c r="E42" s="24">
        <v>28900</v>
      </c>
      <c r="F42" s="24">
        <f t="shared" si="13"/>
        <v>28900</v>
      </c>
      <c r="G42" s="24">
        <f t="shared" si="14"/>
        <v>57589.37000000001</v>
      </c>
      <c r="H42" s="163"/>
      <c r="J42" s="28"/>
      <c r="AA42" s="27"/>
    </row>
    <row r="43" spans="2:27" ht="15.75" thickBot="1" x14ac:dyDescent="0.3">
      <c r="B43" s="25">
        <f t="shared" si="6"/>
        <v>38</v>
      </c>
      <c r="C43" s="8" t="s">
        <v>291</v>
      </c>
      <c r="D43" s="24">
        <v>26800</v>
      </c>
      <c r="E43" s="24">
        <v>28300</v>
      </c>
      <c r="F43" s="24">
        <f t="shared" si="13"/>
        <v>28300</v>
      </c>
      <c r="G43" s="24">
        <f t="shared" si="14"/>
        <v>56793.469999999987</v>
      </c>
      <c r="H43" s="163"/>
      <c r="J43" s="129"/>
      <c r="K43" s="130"/>
      <c r="L43" s="130"/>
      <c r="M43" s="130"/>
      <c r="N43" s="130"/>
      <c r="O43" s="130"/>
      <c r="P43" s="130"/>
      <c r="Q43" s="130"/>
      <c r="R43" s="130"/>
      <c r="S43" s="130"/>
      <c r="T43" s="130"/>
      <c r="U43" s="130"/>
      <c r="V43" s="130"/>
      <c r="W43" s="130"/>
      <c r="X43" s="130"/>
      <c r="Y43" s="130"/>
      <c r="Z43" s="130"/>
      <c r="AA43" s="26"/>
    </row>
    <row r="44" spans="2:27" x14ac:dyDescent="0.25">
      <c r="B44" s="25">
        <f t="shared" si="6"/>
        <v>39</v>
      </c>
      <c r="C44" s="8" t="s">
        <v>290</v>
      </c>
      <c r="D44" s="24">
        <v>39100</v>
      </c>
      <c r="E44" s="24">
        <v>46900</v>
      </c>
      <c r="F44" s="24">
        <f t="shared" si="13"/>
        <v>46900</v>
      </c>
      <c r="G44" s="24">
        <f t="shared" si="14"/>
        <v>81466.37000000001</v>
      </c>
      <c r="H44" s="163"/>
    </row>
    <row r="45" spans="2:27" x14ac:dyDescent="0.25">
      <c r="B45" s="25">
        <f t="shared" si="6"/>
        <v>40</v>
      </c>
      <c r="C45" s="8" t="s">
        <v>289</v>
      </c>
      <c r="D45" s="24">
        <v>96900</v>
      </c>
      <c r="E45" s="24">
        <v>112000</v>
      </c>
      <c r="F45" s="24">
        <f t="shared" si="13"/>
        <v>112000</v>
      </c>
      <c r="G45" s="24">
        <f t="shared" si="14"/>
        <v>167821.52</v>
      </c>
      <c r="H45" s="163"/>
    </row>
    <row r="46" spans="2:27" x14ac:dyDescent="0.25">
      <c r="B46" s="25">
        <f t="shared" si="6"/>
        <v>41</v>
      </c>
      <c r="C46" s="8" t="s">
        <v>288</v>
      </c>
      <c r="D46" s="24">
        <v>86000</v>
      </c>
      <c r="E46" s="24">
        <v>98100</v>
      </c>
      <c r="F46" s="24">
        <f t="shared" si="13"/>
        <v>98100</v>
      </c>
      <c r="G46" s="24">
        <f t="shared" si="14"/>
        <v>149383.17000000001</v>
      </c>
      <c r="H46" s="163"/>
    </row>
    <row r="47" spans="2:27" x14ac:dyDescent="0.25">
      <c r="B47" s="25">
        <f t="shared" si="6"/>
        <v>42</v>
      </c>
      <c r="C47" s="8" t="s">
        <v>287</v>
      </c>
      <c r="D47" s="24">
        <v>61300</v>
      </c>
      <c r="E47" s="24">
        <v>72300</v>
      </c>
      <c r="F47" s="24">
        <f t="shared" si="13"/>
        <v>72300</v>
      </c>
      <c r="G47" s="24">
        <f t="shared" si="14"/>
        <v>115159.47000000002</v>
      </c>
      <c r="H47" s="163"/>
    </row>
    <row r="48" spans="2:27" x14ac:dyDescent="0.25">
      <c r="B48" s="138">
        <f t="shared" si="6"/>
        <v>43</v>
      </c>
      <c r="C48" s="1" t="s">
        <v>378</v>
      </c>
      <c r="D48" s="137">
        <f>125000/1.2325</f>
        <v>101419.87829614605</v>
      </c>
      <c r="E48" s="137">
        <f>D48*1.2325</f>
        <v>125000</v>
      </c>
      <c r="F48" s="137">
        <f t="shared" si="13"/>
        <v>125000</v>
      </c>
      <c r="G48" s="137">
        <f t="shared" si="14"/>
        <v>185066.01999999996</v>
      </c>
      <c r="H48" s="163"/>
    </row>
    <row r="49" spans="2:8" x14ac:dyDescent="0.25">
      <c r="B49" s="25">
        <f t="shared" si="6"/>
        <v>44</v>
      </c>
      <c r="C49" s="8" t="s">
        <v>286</v>
      </c>
      <c r="D49" s="24">
        <v>60600</v>
      </c>
      <c r="E49" s="24">
        <v>73100</v>
      </c>
      <c r="F49" s="24">
        <f t="shared" si="13"/>
        <v>73100</v>
      </c>
      <c r="G49" s="24">
        <f t="shared" si="14"/>
        <v>116220.67000000001</v>
      </c>
      <c r="H49" s="155"/>
    </row>
    <row r="50" spans="2:8" x14ac:dyDescent="0.25">
      <c r="B50" s="25">
        <f t="shared" si="6"/>
        <v>45</v>
      </c>
      <c r="C50" s="8" t="s">
        <v>285</v>
      </c>
      <c r="D50" s="24">
        <v>53900</v>
      </c>
      <c r="E50" s="24">
        <v>57900</v>
      </c>
      <c r="F50" s="24">
        <f t="shared" si="13"/>
        <v>57900</v>
      </c>
      <c r="G50" s="24">
        <f t="shared" si="14"/>
        <v>96057.87</v>
      </c>
      <c r="H50" s="155"/>
    </row>
    <row r="51" spans="2:8" x14ac:dyDescent="0.25">
      <c r="B51" s="138">
        <f t="shared" si="6"/>
        <v>46</v>
      </c>
      <c r="C51" s="1" t="s">
        <v>284</v>
      </c>
      <c r="D51" s="137">
        <f>95000/1.2325</f>
        <v>77079.107505070991</v>
      </c>
      <c r="E51" s="137">
        <f>D51*1.2325</f>
        <v>94999.999999999985</v>
      </c>
      <c r="F51" s="137">
        <f t="shared" si="13"/>
        <v>94999.999999999985</v>
      </c>
      <c r="G51" s="137">
        <f t="shared" si="14"/>
        <v>145271.01999999996</v>
      </c>
      <c r="H51" s="155"/>
    </row>
    <row r="52" spans="2:8" x14ac:dyDescent="0.25">
      <c r="B52" s="25">
        <f t="shared" si="6"/>
        <v>47</v>
      </c>
      <c r="C52" s="8" t="s">
        <v>283</v>
      </c>
      <c r="D52" s="24">
        <v>59500</v>
      </c>
      <c r="E52" s="24">
        <v>62900</v>
      </c>
      <c r="F52" s="24">
        <f t="shared" si="13"/>
        <v>62900</v>
      </c>
      <c r="G52" s="24">
        <f t="shared" si="14"/>
        <v>102690.37000000001</v>
      </c>
      <c r="H52" s="155"/>
    </row>
    <row r="53" spans="2:8" x14ac:dyDescent="0.25">
      <c r="B53" s="25">
        <f t="shared" si="6"/>
        <v>48</v>
      </c>
      <c r="C53" s="8" t="s">
        <v>282</v>
      </c>
      <c r="D53" s="24">
        <v>64700</v>
      </c>
      <c r="E53" s="24">
        <v>73300</v>
      </c>
      <c r="F53" s="24">
        <f t="shared" si="13"/>
        <v>73300</v>
      </c>
      <c r="G53" s="24">
        <f t="shared" si="14"/>
        <v>116485.96999999999</v>
      </c>
      <c r="H53" s="155"/>
    </row>
    <row r="54" spans="2:8" x14ac:dyDescent="0.25">
      <c r="B54" s="25">
        <f t="shared" si="6"/>
        <v>49</v>
      </c>
      <c r="C54" s="8" t="s">
        <v>350</v>
      </c>
      <c r="D54" s="24">
        <v>34200</v>
      </c>
      <c r="E54" s="24">
        <v>36300</v>
      </c>
      <c r="F54" s="24">
        <f t="shared" si="13"/>
        <v>36300</v>
      </c>
      <c r="G54" s="24">
        <f t="shared" si="14"/>
        <v>67405.47</v>
      </c>
      <c r="H54" s="155"/>
    </row>
    <row r="55" spans="2:8" x14ac:dyDescent="0.25">
      <c r="B55" s="25">
        <f t="shared" si="6"/>
        <v>50</v>
      </c>
      <c r="C55" s="8" t="s">
        <v>281</v>
      </c>
      <c r="D55" s="24">
        <v>107000</v>
      </c>
      <c r="E55" s="24">
        <v>133000</v>
      </c>
      <c r="F55" s="24">
        <f t="shared" si="13"/>
        <v>133000</v>
      </c>
      <c r="G55" s="24">
        <f t="shared" si="14"/>
        <v>195678.02000000002</v>
      </c>
      <c r="H55" s="155"/>
    </row>
    <row r="56" spans="2:8" x14ac:dyDescent="0.25">
      <c r="B56" s="25">
        <f t="shared" si="6"/>
        <v>51</v>
      </c>
      <c r="C56" s="8" t="s">
        <v>280</v>
      </c>
      <c r="D56" s="24">
        <v>46700</v>
      </c>
      <c r="E56" s="24">
        <v>48100</v>
      </c>
      <c r="F56" s="24">
        <f t="shared" si="13"/>
        <v>48100</v>
      </c>
      <c r="G56" s="24">
        <f t="shared" si="14"/>
        <v>83058.17</v>
      </c>
      <c r="H56" s="155"/>
    </row>
    <row r="57" spans="2:8" x14ac:dyDescent="0.25">
      <c r="B57" s="25">
        <f t="shared" si="6"/>
        <v>52</v>
      </c>
      <c r="C57" s="8" t="s">
        <v>279</v>
      </c>
      <c r="D57" s="24">
        <v>39500</v>
      </c>
      <c r="E57" s="24">
        <v>44800</v>
      </c>
      <c r="F57" s="24">
        <f t="shared" si="13"/>
        <v>44800</v>
      </c>
      <c r="G57" s="24">
        <f t="shared" si="14"/>
        <v>78680.72</v>
      </c>
      <c r="H57" s="155"/>
    </row>
    <row r="58" spans="2:8" x14ac:dyDescent="0.25">
      <c r="B58" s="25">
        <f t="shared" si="6"/>
        <v>53</v>
      </c>
      <c r="C58" s="8" t="s">
        <v>278</v>
      </c>
      <c r="D58" s="24">
        <v>28500</v>
      </c>
      <c r="E58" s="24">
        <v>29700</v>
      </c>
      <c r="F58" s="24">
        <f t="shared" si="13"/>
        <v>29700</v>
      </c>
      <c r="G58" s="24">
        <f t="shared" si="14"/>
        <v>58650.570000000007</v>
      </c>
      <c r="H58" s="155"/>
    </row>
    <row r="59" spans="2:8" x14ac:dyDescent="0.25">
      <c r="B59" s="25">
        <f t="shared" si="6"/>
        <v>54</v>
      </c>
      <c r="C59" s="8" t="s">
        <v>277</v>
      </c>
      <c r="D59" s="24">
        <v>78700</v>
      </c>
      <c r="E59" s="24">
        <v>90000</v>
      </c>
      <c r="F59" s="24">
        <f t="shared" si="13"/>
        <v>90000</v>
      </c>
      <c r="G59" s="24">
        <f t="shared" si="14"/>
        <v>138638.51999999999</v>
      </c>
      <c r="H59" s="155"/>
    </row>
    <row r="60" spans="2:8" x14ac:dyDescent="0.25">
      <c r="B60" s="25">
        <f t="shared" si="6"/>
        <v>55</v>
      </c>
      <c r="C60" s="8" t="s">
        <v>276</v>
      </c>
      <c r="D60" s="24">
        <v>168000</v>
      </c>
      <c r="E60" s="24">
        <v>175000</v>
      </c>
      <c r="F60" s="24">
        <f t="shared" si="13"/>
        <v>175000</v>
      </c>
      <c r="G60" s="24">
        <f t="shared" si="14"/>
        <v>251391.02000000002</v>
      </c>
      <c r="H60" s="155"/>
    </row>
    <row r="61" spans="2:8" x14ac:dyDescent="0.25">
      <c r="B61" s="25">
        <f t="shared" si="6"/>
        <v>56</v>
      </c>
      <c r="C61" s="8" t="s">
        <v>275</v>
      </c>
      <c r="D61" s="24">
        <v>26000</v>
      </c>
      <c r="E61" s="24">
        <v>27600</v>
      </c>
      <c r="F61" s="24">
        <f t="shared" si="13"/>
        <v>27600</v>
      </c>
      <c r="G61" s="24">
        <f t="shared" si="14"/>
        <v>55864.92</v>
      </c>
      <c r="H61" s="155"/>
    </row>
    <row r="62" spans="2:8" x14ac:dyDescent="0.25">
      <c r="B62" s="25">
        <f t="shared" si="6"/>
        <v>57</v>
      </c>
      <c r="C62" s="8" t="s">
        <v>274</v>
      </c>
      <c r="D62" s="24">
        <v>24700</v>
      </c>
      <c r="E62" s="24">
        <v>30600</v>
      </c>
      <c r="F62" s="24">
        <f t="shared" si="13"/>
        <v>30600</v>
      </c>
      <c r="G62" s="24">
        <f t="shared" si="14"/>
        <v>59844.42</v>
      </c>
      <c r="H62" s="155"/>
    </row>
    <row r="63" spans="2:8" x14ac:dyDescent="0.25">
      <c r="B63" s="25">
        <f t="shared" si="6"/>
        <v>58</v>
      </c>
      <c r="C63" s="8" t="s">
        <v>273</v>
      </c>
      <c r="D63" s="24">
        <v>24900</v>
      </c>
      <c r="E63" s="24">
        <v>27100</v>
      </c>
      <c r="F63" s="24">
        <f t="shared" si="13"/>
        <v>27100</v>
      </c>
      <c r="G63" s="24">
        <f t="shared" si="14"/>
        <v>55201.67</v>
      </c>
      <c r="H63" s="155"/>
    </row>
    <row r="64" spans="2:8" x14ac:dyDescent="0.25">
      <c r="B64" s="25">
        <f t="shared" si="6"/>
        <v>59</v>
      </c>
      <c r="C64" s="8" t="s">
        <v>272</v>
      </c>
      <c r="D64" s="24">
        <v>82200</v>
      </c>
      <c r="E64" s="24">
        <v>91600</v>
      </c>
      <c r="F64" s="24">
        <f t="shared" si="13"/>
        <v>91600</v>
      </c>
      <c r="G64" s="24">
        <f t="shared" si="14"/>
        <v>140760.92000000001</v>
      </c>
      <c r="H64" s="155"/>
    </row>
    <row r="65" spans="2:8" x14ac:dyDescent="0.25">
      <c r="B65" s="25">
        <f t="shared" si="6"/>
        <v>60</v>
      </c>
      <c r="C65" s="8" t="s">
        <v>271</v>
      </c>
      <c r="D65" s="24">
        <v>39900</v>
      </c>
      <c r="E65" s="24">
        <v>49300</v>
      </c>
      <c r="F65" s="24">
        <f t="shared" si="13"/>
        <v>49300</v>
      </c>
      <c r="G65" s="24">
        <f t="shared" si="14"/>
        <v>84649.969999999987</v>
      </c>
      <c r="H65" s="155"/>
    </row>
    <row r="66" spans="2:8" x14ac:dyDescent="0.25">
      <c r="B66" s="25">
        <f t="shared" si="6"/>
        <v>61</v>
      </c>
      <c r="C66" s="8" t="s">
        <v>270</v>
      </c>
      <c r="D66" s="24">
        <v>29900</v>
      </c>
      <c r="E66" s="24">
        <v>31300</v>
      </c>
      <c r="F66" s="24">
        <f t="shared" si="13"/>
        <v>31300</v>
      </c>
      <c r="G66" s="24">
        <f t="shared" si="14"/>
        <v>60772.97</v>
      </c>
      <c r="H66" s="155"/>
    </row>
    <row r="67" spans="2:8" x14ac:dyDescent="0.25">
      <c r="B67" s="25">
        <f t="shared" si="6"/>
        <v>62</v>
      </c>
      <c r="C67" s="8" t="s">
        <v>269</v>
      </c>
      <c r="D67" s="24">
        <v>40400</v>
      </c>
      <c r="E67" s="24">
        <v>48700</v>
      </c>
      <c r="F67" s="24">
        <f t="shared" si="13"/>
        <v>48700</v>
      </c>
      <c r="G67" s="24">
        <f t="shared" si="14"/>
        <v>83854.070000000007</v>
      </c>
      <c r="H67" s="155"/>
    </row>
    <row r="68" spans="2:8" x14ac:dyDescent="0.25">
      <c r="B68" s="25">
        <f t="shared" si="6"/>
        <v>63</v>
      </c>
      <c r="C68" s="8" t="s">
        <v>268</v>
      </c>
      <c r="D68" s="24">
        <v>26800</v>
      </c>
      <c r="E68" s="24">
        <v>33200</v>
      </c>
      <c r="F68" s="24">
        <f t="shared" si="13"/>
        <v>33200</v>
      </c>
      <c r="G68" s="24">
        <f t="shared" si="14"/>
        <v>63293.319999999992</v>
      </c>
      <c r="H68" s="155"/>
    </row>
    <row r="69" spans="2:8" x14ac:dyDescent="0.25">
      <c r="B69" s="25">
        <f t="shared" si="6"/>
        <v>64</v>
      </c>
      <c r="C69" s="8" t="s">
        <v>267</v>
      </c>
      <c r="D69" s="24">
        <v>50800</v>
      </c>
      <c r="E69" s="24">
        <v>53300</v>
      </c>
      <c r="F69" s="24">
        <f t="shared" si="13"/>
        <v>53300</v>
      </c>
      <c r="G69" s="24">
        <f t="shared" si="14"/>
        <v>89955.97</v>
      </c>
      <c r="H69" s="155"/>
    </row>
    <row r="70" spans="2:8" x14ac:dyDescent="0.25">
      <c r="B70" s="25">
        <f t="shared" si="6"/>
        <v>65</v>
      </c>
      <c r="C70" s="8" t="s">
        <v>266</v>
      </c>
      <c r="D70" s="24">
        <v>27800</v>
      </c>
      <c r="E70" s="24">
        <v>30500</v>
      </c>
      <c r="F70" s="24">
        <f t="shared" si="13"/>
        <v>30500</v>
      </c>
      <c r="G70" s="24">
        <f t="shared" si="14"/>
        <v>59711.76999999999</v>
      </c>
      <c r="H70" s="155"/>
    </row>
    <row r="71" spans="2:8" x14ac:dyDescent="0.25">
      <c r="B71" s="25">
        <f t="shared" si="6"/>
        <v>66</v>
      </c>
      <c r="C71" s="8" t="s">
        <v>265</v>
      </c>
      <c r="D71" s="24">
        <v>28000</v>
      </c>
      <c r="E71" s="24">
        <v>30200</v>
      </c>
      <c r="F71" s="24">
        <f t="shared" si="13"/>
        <v>30200</v>
      </c>
      <c r="G71" s="24">
        <f t="shared" si="14"/>
        <v>59313.820000000007</v>
      </c>
      <c r="H71" s="155"/>
    </row>
    <row r="72" spans="2:8" x14ac:dyDescent="0.25">
      <c r="B72" s="25">
        <f t="shared" si="6"/>
        <v>67</v>
      </c>
      <c r="C72" s="8" t="s">
        <v>264</v>
      </c>
      <c r="D72" s="24">
        <v>28100</v>
      </c>
      <c r="E72" s="24">
        <v>33300</v>
      </c>
      <c r="F72" s="24">
        <f t="shared" si="13"/>
        <v>33300</v>
      </c>
      <c r="G72" s="24">
        <f t="shared" si="14"/>
        <v>63425.97</v>
      </c>
      <c r="H72" s="155"/>
    </row>
    <row r="73" spans="2:8" x14ac:dyDescent="0.25">
      <c r="B73" s="25">
        <f t="shared" si="6"/>
        <v>68</v>
      </c>
      <c r="C73" s="8" t="s">
        <v>263</v>
      </c>
      <c r="D73" s="24">
        <v>25800</v>
      </c>
      <c r="E73" s="24">
        <v>31100</v>
      </c>
      <c r="F73" s="24">
        <f t="shared" si="13"/>
        <v>31100</v>
      </c>
      <c r="G73" s="24">
        <f t="shared" si="14"/>
        <v>60507.67</v>
      </c>
      <c r="H73" s="155"/>
    </row>
    <row r="74" spans="2:8" x14ac:dyDescent="0.25">
      <c r="B74" s="25">
        <f t="shared" si="6"/>
        <v>69</v>
      </c>
      <c r="C74" s="8" t="s">
        <v>262</v>
      </c>
      <c r="D74" s="24">
        <v>26100</v>
      </c>
      <c r="E74" s="24">
        <v>32300</v>
      </c>
      <c r="F74" s="24">
        <f t="shared" si="13"/>
        <v>32300</v>
      </c>
      <c r="G74" s="24">
        <f t="shared" si="14"/>
        <v>62099.47</v>
      </c>
      <c r="H74" s="155"/>
    </row>
    <row r="75" spans="2:8" x14ac:dyDescent="0.25">
      <c r="B75" s="25">
        <f t="shared" ref="B75:B138" si="15">B74+1</f>
        <v>70</v>
      </c>
      <c r="C75" s="8" t="s">
        <v>261</v>
      </c>
      <c r="D75" s="24">
        <v>43300</v>
      </c>
      <c r="E75" s="24">
        <v>53600</v>
      </c>
      <c r="F75" s="24">
        <f t="shared" si="13"/>
        <v>53600</v>
      </c>
      <c r="G75" s="24">
        <f t="shared" si="14"/>
        <v>90353.919999999998</v>
      </c>
      <c r="H75" s="155"/>
    </row>
    <row r="76" spans="2:8" x14ac:dyDescent="0.25">
      <c r="B76" s="138">
        <f t="shared" si="15"/>
        <v>71</v>
      </c>
      <c r="C76" s="1" t="s">
        <v>381</v>
      </c>
      <c r="D76" s="137">
        <f>45000/1.2325</f>
        <v>36511.156186612578</v>
      </c>
      <c r="E76" s="137">
        <f>D76*1.2325</f>
        <v>45000</v>
      </c>
      <c r="F76" s="137">
        <f t="shared" ref="F76" si="16">E76+(E76*$E$2)</f>
        <v>45000</v>
      </c>
      <c r="G76" s="137">
        <f>(((F76/$K$20)+ ((F76/$K$20)*$K$24)+ ((F76/$K$20)*$K$25)+ ((F76/$K$20)*$K$26)+ ((F76/$K$20)*($K$29/1000))+ ((F76/$K$20)*($K$30/100)))*$K$20)+$L$37</f>
        <v>78946.01999999999</v>
      </c>
      <c r="H76" s="155"/>
    </row>
    <row r="77" spans="2:8" x14ac:dyDescent="0.25">
      <c r="B77" s="138">
        <f t="shared" si="15"/>
        <v>72</v>
      </c>
      <c r="C77" s="1" t="s">
        <v>382</v>
      </c>
      <c r="D77" s="137">
        <f>45000/1.2325</f>
        <v>36511.156186612578</v>
      </c>
      <c r="E77" s="137">
        <f>D77*1.2325</f>
        <v>45000</v>
      </c>
      <c r="F77" s="137">
        <f t="shared" ref="F77" si="17">E77+(E77*$E$2)</f>
        <v>45000</v>
      </c>
      <c r="G77" s="137">
        <f>(((F77/$K$20)+ ((F77/$K$20)*$K$24)+ ((F77/$K$20)*$K$25)+ ((F77/$K$20)*$K$26)+ ((F77/$K$20)*($K$29/1000))+ ((F77/$K$20)*($K$30/100)))*$K$20)+$L$37</f>
        <v>78946.01999999999</v>
      </c>
      <c r="H77" s="155"/>
    </row>
    <row r="78" spans="2:8" x14ac:dyDescent="0.25">
      <c r="B78" s="25">
        <f t="shared" si="15"/>
        <v>73</v>
      </c>
      <c r="C78" s="8" t="s">
        <v>260</v>
      </c>
      <c r="D78" s="24">
        <v>75200</v>
      </c>
      <c r="E78" s="24">
        <v>87500</v>
      </c>
      <c r="F78" s="24">
        <f t="shared" si="13"/>
        <v>87500</v>
      </c>
      <c r="G78" s="24">
        <f t="shared" si="14"/>
        <v>135322.27000000002</v>
      </c>
      <c r="H78" s="155"/>
    </row>
    <row r="79" spans="2:8" x14ac:dyDescent="0.25">
      <c r="B79" s="25">
        <f t="shared" si="15"/>
        <v>74</v>
      </c>
      <c r="C79" s="8" t="s">
        <v>259</v>
      </c>
      <c r="D79" s="24">
        <v>35200</v>
      </c>
      <c r="E79" s="24">
        <v>39900</v>
      </c>
      <c r="F79" s="24">
        <f t="shared" si="13"/>
        <v>39900</v>
      </c>
      <c r="G79" s="24">
        <f t="shared" si="14"/>
        <v>72180.87</v>
      </c>
      <c r="H79" s="155"/>
    </row>
    <row r="80" spans="2:8" x14ac:dyDescent="0.25">
      <c r="B80" s="25">
        <f t="shared" si="15"/>
        <v>75</v>
      </c>
      <c r="C80" s="8" t="s">
        <v>258</v>
      </c>
      <c r="D80" s="24">
        <v>120000</v>
      </c>
      <c r="E80" s="24">
        <v>125000</v>
      </c>
      <c r="F80" s="24">
        <f t="shared" si="13"/>
        <v>125000</v>
      </c>
      <c r="G80" s="24">
        <f t="shared" si="14"/>
        <v>185066.01999999996</v>
      </c>
      <c r="H80" s="155"/>
    </row>
    <row r="81" spans="2:8" x14ac:dyDescent="0.25">
      <c r="B81" s="25">
        <f t="shared" si="15"/>
        <v>76</v>
      </c>
      <c r="C81" s="8" t="s">
        <v>257</v>
      </c>
      <c r="D81" s="24">
        <v>84100</v>
      </c>
      <c r="E81" s="24">
        <v>99500</v>
      </c>
      <c r="F81" s="24">
        <f t="shared" si="13"/>
        <v>99500</v>
      </c>
      <c r="G81" s="24">
        <f t="shared" si="14"/>
        <v>151240.26999999999</v>
      </c>
      <c r="H81" s="155"/>
    </row>
    <row r="82" spans="2:8" x14ac:dyDescent="0.25">
      <c r="B82" s="138">
        <f t="shared" si="15"/>
        <v>77</v>
      </c>
      <c r="C82" s="1" t="s">
        <v>385</v>
      </c>
      <c r="D82" s="137">
        <f>90000/1.2325</f>
        <v>73022.312373225155</v>
      </c>
      <c r="E82" s="137">
        <f>D82*1.2325</f>
        <v>90000</v>
      </c>
      <c r="F82" s="137">
        <f t="shared" si="13"/>
        <v>90000</v>
      </c>
      <c r="G82" s="137">
        <f t="shared" si="14"/>
        <v>138638.51999999999</v>
      </c>
      <c r="H82" s="155"/>
    </row>
    <row r="83" spans="2:8" x14ac:dyDescent="0.25">
      <c r="B83" s="25">
        <f t="shared" si="15"/>
        <v>78</v>
      </c>
      <c r="C83" s="8" t="s">
        <v>256</v>
      </c>
      <c r="D83" s="24">
        <v>54400</v>
      </c>
      <c r="E83" s="24">
        <v>62200</v>
      </c>
      <c r="F83" s="24">
        <f t="shared" si="13"/>
        <v>62200</v>
      </c>
      <c r="G83" s="24">
        <f t="shared" si="14"/>
        <v>101761.81999999999</v>
      </c>
      <c r="H83" s="155"/>
    </row>
    <row r="84" spans="2:8" x14ac:dyDescent="0.25">
      <c r="B84" s="25">
        <f t="shared" si="15"/>
        <v>79</v>
      </c>
      <c r="C84" s="8" t="s">
        <v>255</v>
      </c>
      <c r="D84" s="24">
        <v>159000</v>
      </c>
      <c r="E84" s="24">
        <v>172000</v>
      </c>
      <c r="F84" s="24">
        <f t="shared" si="13"/>
        <v>172000</v>
      </c>
      <c r="G84" s="24">
        <f t="shared" si="14"/>
        <v>247411.52</v>
      </c>
      <c r="H84" s="155"/>
    </row>
    <row r="85" spans="2:8" x14ac:dyDescent="0.25">
      <c r="B85" s="25">
        <f t="shared" si="15"/>
        <v>80</v>
      </c>
      <c r="C85" s="8" t="s">
        <v>254</v>
      </c>
      <c r="D85" s="24">
        <v>80900</v>
      </c>
      <c r="E85" s="24">
        <v>101000</v>
      </c>
      <c r="F85" s="24">
        <f t="shared" si="13"/>
        <v>101000</v>
      </c>
      <c r="G85" s="24">
        <f t="shared" si="14"/>
        <v>153230.01999999999</v>
      </c>
      <c r="H85" s="155"/>
    </row>
    <row r="86" spans="2:8" x14ac:dyDescent="0.25">
      <c r="B86" s="25">
        <f t="shared" si="15"/>
        <v>81</v>
      </c>
      <c r="C86" s="8" t="s">
        <v>253</v>
      </c>
      <c r="D86" s="24">
        <v>36000</v>
      </c>
      <c r="E86" s="24">
        <v>39100</v>
      </c>
      <c r="F86" s="24">
        <f t="shared" si="13"/>
        <v>39100</v>
      </c>
      <c r="G86" s="24">
        <f>(((F86/$K$20)+ ((F86/$K$20)*$K$24)+ ((F86/$K$20)*$K$25)+ ((F86/$K$20)*$K$26)+ ((F86/$K$20)*($K$29/1000))+ ((F86/$K$20)*($K$30/100)))*$K$20)+$L$37</f>
        <v>71119.670000000013</v>
      </c>
      <c r="H86" s="155"/>
    </row>
    <row r="87" spans="2:8" x14ac:dyDescent="0.25">
      <c r="B87" s="138">
        <f t="shared" si="15"/>
        <v>82</v>
      </c>
      <c r="C87" s="1" t="s">
        <v>379</v>
      </c>
      <c r="D87" s="137">
        <f>120000/1.2325</f>
        <v>97363.083164300202</v>
      </c>
      <c r="E87" s="137">
        <f>D87*1.2325</f>
        <v>119999.99999999999</v>
      </c>
      <c r="F87" s="137">
        <f t="shared" si="13"/>
        <v>119999.99999999999</v>
      </c>
      <c r="G87" s="137">
        <f>(((F87/$K$20)+ ((F87/$K$20)*$K$24)+ ((F87/$K$20)*$K$25)+ ((F87/$K$20)*$K$26)+ ((F87/$K$20)*($K$29/1000))+ ((F87/$K$20)*($K$30/100)))*$K$20)+$L$37</f>
        <v>178433.52</v>
      </c>
      <c r="H87" s="155"/>
    </row>
    <row r="88" spans="2:8" x14ac:dyDescent="0.25">
      <c r="B88" s="25">
        <f t="shared" si="15"/>
        <v>83</v>
      </c>
      <c r="C88" s="8" t="s">
        <v>252</v>
      </c>
      <c r="D88" s="24">
        <v>135000</v>
      </c>
      <c r="E88" s="24">
        <v>140000</v>
      </c>
      <c r="F88" s="24">
        <f t="shared" si="13"/>
        <v>140000</v>
      </c>
      <c r="G88" s="24">
        <f t="shared" si="14"/>
        <v>204963.52</v>
      </c>
      <c r="H88" s="155"/>
    </row>
    <row r="89" spans="2:8" x14ac:dyDescent="0.25">
      <c r="B89" s="25">
        <f t="shared" si="15"/>
        <v>84</v>
      </c>
      <c r="C89" s="8" t="s">
        <v>251</v>
      </c>
      <c r="D89" s="24">
        <v>82600</v>
      </c>
      <c r="E89" s="24">
        <v>102000</v>
      </c>
      <c r="F89" s="24">
        <f t="shared" si="13"/>
        <v>102000</v>
      </c>
      <c r="G89" s="24">
        <f t="shared" si="14"/>
        <v>154556.51999999999</v>
      </c>
      <c r="H89" s="155"/>
    </row>
    <row r="90" spans="2:8" x14ac:dyDescent="0.25">
      <c r="B90" s="25">
        <f t="shared" si="15"/>
        <v>85</v>
      </c>
      <c r="C90" s="8" t="s">
        <v>250</v>
      </c>
      <c r="D90" s="24">
        <v>28000</v>
      </c>
      <c r="E90" s="24">
        <v>30200</v>
      </c>
      <c r="F90" s="24">
        <f t="shared" si="13"/>
        <v>30200</v>
      </c>
      <c r="G90" s="24">
        <f t="shared" si="14"/>
        <v>59313.820000000007</v>
      </c>
      <c r="H90" s="155"/>
    </row>
    <row r="91" spans="2:8" x14ac:dyDescent="0.25">
      <c r="B91" s="25">
        <f t="shared" si="15"/>
        <v>86</v>
      </c>
      <c r="C91" s="8" t="s">
        <v>249</v>
      </c>
      <c r="D91" s="24">
        <v>49800</v>
      </c>
      <c r="E91" s="24">
        <v>52700</v>
      </c>
      <c r="F91" s="24">
        <f t="shared" si="13"/>
        <v>52700</v>
      </c>
      <c r="G91" s="24">
        <f t="shared" si="14"/>
        <v>89160.07</v>
      </c>
      <c r="H91" s="155"/>
    </row>
    <row r="92" spans="2:8" x14ac:dyDescent="0.25">
      <c r="B92" s="25">
        <f t="shared" si="15"/>
        <v>87</v>
      </c>
      <c r="C92" s="8" t="s">
        <v>248</v>
      </c>
      <c r="D92" s="24">
        <v>70900</v>
      </c>
      <c r="E92" s="24">
        <v>76100</v>
      </c>
      <c r="F92" s="24">
        <f t="shared" si="13"/>
        <v>76100</v>
      </c>
      <c r="G92" s="24">
        <f t="shared" si="14"/>
        <v>120200.16999999998</v>
      </c>
      <c r="H92" s="155"/>
    </row>
    <row r="93" spans="2:8" x14ac:dyDescent="0.25">
      <c r="B93" s="25">
        <f t="shared" si="15"/>
        <v>88</v>
      </c>
      <c r="C93" s="8" t="s">
        <v>247</v>
      </c>
      <c r="D93" s="24">
        <v>32700</v>
      </c>
      <c r="E93" s="24">
        <v>37900</v>
      </c>
      <c r="F93" s="24">
        <f t="shared" si="13"/>
        <v>37900</v>
      </c>
      <c r="G93" s="24">
        <f t="shared" si="14"/>
        <v>69527.87000000001</v>
      </c>
      <c r="H93" s="155"/>
    </row>
    <row r="94" spans="2:8" x14ac:dyDescent="0.25">
      <c r="B94" s="25">
        <f t="shared" si="15"/>
        <v>89</v>
      </c>
      <c r="C94" s="8" t="s">
        <v>246</v>
      </c>
      <c r="D94" s="24">
        <v>26100</v>
      </c>
      <c r="E94" s="24">
        <v>30700</v>
      </c>
      <c r="F94" s="24">
        <f t="shared" si="13"/>
        <v>30700</v>
      </c>
      <c r="G94" s="24">
        <f t="shared" si="14"/>
        <v>59977.069999999992</v>
      </c>
      <c r="H94" s="155"/>
    </row>
    <row r="95" spans="2:8" x14ac:dyDescent="0.25">
      <c r="B95" s="25">
        <f t="shared" si="15"/>
        <v>90</v>
      </c>
      <c r="C95" s="8" t="s">
        <v>245</v>
      </c>
      <c r="D95" s="24">
        <v>27400</v>
      </c>
      <c r="E95" s="24">
        <v>30900</v>
      </c>
      <c r="F95" s="24">
        <f t="shared" si="13"/>
        <v>30900</v>
      </c>
      <c r="G95" s="24">
        <f t="shared" si="14"/>
        <v>60242.369999999995</v>
      </c>
      <c r="H95" s="155"/>
    </row>
    <row r="96" spans="2:8" x14ac:dyDescent="0.25">
      <c r="B96" s="25">
        <f t="shared" si="15"/>
        <v>91</v>
      </c>
      <c r="C96" s="8" t="s">
        <v>244</v>
      </c>
      <c r="D96" s="24">
        <v>99100</v>
      </c>
      <c r="E96" s="24">
        <v>122000</v>
      </c>
      <c r="F96" s="24">
        <f t="shared" si="13"/>
        <v>122000</v>
      </c>
      <c r="G96" s="24">
        <f t="shared" si="14"/>
        <v>181086.51999999996</v>
      </c>
      <c r="H96" s="155"/>
    </row>
    <row r="97" spans="2:8" x14ac:dyDescent="0.25">
      <c r="B97" s="25">
        <f t="shared" si="15"/>
        <v>92</v>
      </c>
      <c r="C97" s="8" t="s">
        <v>243</v>
      </c>
      <c r="D97" s="24">
        <v>27500</v>
      </c>
      <c r="E97" s="24">
        <v>34000</v>
      </c>
      <c r="F97" s="24">
        <f t="shared" si="13"/>
        <v>34000</v>
      </c>
      <c r="G97" s="24">
        <f t="shared" si="14"/>
        <v>64354.520000000004</v>
      </c>
      <c r="H97" s="155"/>
    </row>
    <row r="98" spans="2:8" x14ac:dyDescent="0.25">
      <c r="B98" s="25">
        <f t="shared" si="15"/>
        <v>93</v>
      </c>
      <c r="C98" s="8" t="s">
        <v>242</v>
      </c>
      <c r="D98" s="24">
        <v>87300</v>
      </c>
      <c r="E98" s="24">
        <v>93300</v>
      </c>
      <c r="F98" s="24">
        <f t="shared" si="13"/>
        <v>93300</v>
      </c>
      <c r="G98" s="24">
        <f t="shared" si="14"/>
        <v>143015.97000000003</v>
      </c>
      <c r="H98" s="155"/>
    </row>
    <row r="99" spans="2:8" x14ac:dyDescent="0.25">
      <c r="B99" s="25">
        <f t="shared" si="15"/>
        <v>94</v>
      </c>
      <c r="C99" s="8" t="s">
        <v>241</v>
      </c>
      <c r="D99" s="24">
        <v>127000</v>
      </c>
      <c r="E99" s="24">
        <v>150000</v>
      </c>
      <c r="F99" s="24">
        <f t="shared" si="13"/>
        <v>150000</v>
      </c>
      <c r="G99" s="24">
        <f t="shared" si="14"/>
        <v>218228.51999999996</v>
      </c>
      <c r="H99" s="155"/>
    </row>
    <row r="100" spans="2:8" x14ac:dyDescent="0.25">
      <c r="B100" s="25">
        <f t="shared" si="15"/>
        <v>95</v>
      </c>
      <c r="C100" s="8" t="s">
        <v>240</v>
      </c>
      <c r="D100" s="24">
        <v>99500</v>
      </c>
      <c r="E100" s="24">
        <v>107000</v>
      </c>
      <c r="F100" s="24">
        <f t="shared" si="13"/>
        <v>107000</v>
      </c>
      <c r="G100" s="24">
        <f t="shared" si="14"/>
        <v>161189.01999999999</v>
      </c>
      <c r="H100" s="155"/>
    </row>
    <row r="101" spans="2:8" x14ac:dyDescent="0.25">
      <c r="B101" s="138">
        <f t="shared" si="15"/>
        <v>96</v>
      </c>
      <c r="C101" s="1" t="s">
        <v>239</v>
      </c>
      <c r="D101" s="137">
        <f>150000/1.2325</f>
        <v>121703.85395537526</v>
      </c>
      <c r="E101" s="137">
        <f>D101*1.2325</f>
        <v>150000</v>
      </c>
      <c r="F101" s="137">
        <f t="shared" si="13"/>
        <v>150000</v>
      </c>
      <c r="G101" s="137">
        <f t="shared" si="14"/>
        <v>218228.51999999996</v>
      </c>
      <c r="H101" s="155"/>
    </row>
    <row r="102" spans="2:8" x14ac:dyDescent="0.25">
      <c r="B102" s="25">
        <f t="shared" si="15"/>
        <v>97</v>
      </c>
      <c r="C102" s="8" t="s">
        <v>238</v>
      </c>
      <c r="D102" s="24">
        <v>47900</v>
      </c>
      <c r="E102" s="24">
        <v>50000</v>
      </c>
      <c r="F102" s="24">
        <f t="shared" si="13"/>
        <v>50000</v>
      </c>
      <c r="G102" s="24">
        <f t="shared" si="14"/>
        <v>85578.52</v>
      </c>
      <c r="H102" s="155"/>
    </row>
    <row r="103" spans="2:8" x14ac:dyDescent="0.25">
      <c r="B103" s="25">
        <f t="shared" si="15"/>
        <v>98</v>
      </c>
      <c r="C103" s="8" t="s">
        <v>237</v>
      </c>
      <c r="D103" s="24">
        <v>32900</v>
      </c>
      <c r="E103" s="24">
        <v>40900</v>
      </c>
      <c r="F103" s="24">
        <f t="shared" si="13"/>
        <v>40900</v>
      </c>
      <c r="G103" s="24">
        <f t="shared" si="14"/>
        <v>73507.37000000001</v>
      </c>
      <c r="H103" s="155"/>
    </row>
    <row r="104" spans="2:8" x14ac:dyDescent="0.25">
      <c r="B104" s="25">
        <f t="shared" si="15"/>
        <v>99</v>
      </c>
      <c r="C104" s="8" t="s">
        <v>236</v>
      </c>
      <c r="D104" s="24">
        <v>74200</v>
      </c>
      <c r="E104" s="24">
        <v>85400</v>
      </c>
      <c r="F104" s="24">
        <f t="shared" si="13"/>
        <v>85400</v>
      </c>
      <c r="G104" s="24">
        <f t="shared" si="14"/>
        <v>132536.62</v>
      </c>
      <c r="H104" s="155"/>
    </row>
    <row r="105" spans="2:8" x14ac:dyDescent="0.25">
      <c r="B105" s="25">
        <f t="shared" si="15"/>
        <v>100</v>
      </c>
      <c r="C105" s="8" t="s">
        <v>235</v>
      </c>
      <c r="D105" s="24">
        <v>31900</v>
      </c>
      <c r="E105" s="24">
        <v>35600</v>
      </c>
      <c r="F105" s="24">
        <f t="shared" si="13"/>
        <v>35600</v>
      </c>
      <c r="G105" s="24">
        <f t="shared" si="14"/>
        <v>66476.92</v>
      </c>
      <c r="H105" s="155"/>
    </row>
    <row r="106" spans="2:8" x14ac:dyDescent="0.25">
      <c r="B106" s="25">
        <f t="shared" si="15"/>
        <v>101</v>
      </c>
      <c r="C106" s="8" t="s">
        <v>234</v>
      </c>
      <c r="D106" s="24">
        <v>119000</v>
      </c>
      <c r="E106" s="24">
        <v>132000</v>
      </c>
      <c r="F106" s="24">
        <f t="shared" si="13"/>
        <v>132000</v>
      </c>
      <c r="G106" s="24">
        <f t="shared" si="14"/>
        <v>194351.52</v>
      </c>
      <c r="H106" s="155"/>
    </row>
    <row r="107" spans="2:8" x14ac:dyDescent="0.25">
      <c r="B107" s="25">
        <f t="shared" si="15"/>
        <v>102</v>
      </c>
      <c r="C107" s="8" t="s">
        <v>233</v>
      </c>
      <c r="D107" s="24">
        <v>75300</v>
      </c>
      <c r="E107" s="24">
        <v>87400</v>
      </c>
      <c r="F107" s="24">
        <f t="shared" si="13"/>
        <v>87400</v>
      </c>
      <c r="G107" s="24">
        <f t="shared" si="14"/>
        <v>135189.62</v>
      </c>
      <c r="H107" s="155"/>
    </row>
    <row r="108" spans="2:8" x14ac:dyDescent="0.25">
      <c r="B108" s="25">
        <f t="shared" si="15"/>
        <v>103</v>
      </c>
      <c r="C108" s="8" t="s">
        <v>232</v>
      </c>
      <c r="D108" s="24">
        <v>89400</v>
      </c>
      <c r="E108" s="24">
        <v>97500</v>
      </c>
      <c r="F108" s="24">
        <f t="shared" si="13"/>
        <v>97500</v>
      </c>
      <c r="G108" s="24">
        <f t="shared" si="14"/>
        <v>148587.26999999999</v>
      </c>
      <c r="H108" s="155"/>
    </row>
    <row r="109" spans="2:8" x14ac:dyDescent="0.25">
      <c r="B109" s="25">
        <f t="shared" si="15"/>
        <v>104</v>
      </c>
      <c r="C109" s="8" t="s">
        <v>231</v>
      </c>
      <c r="D109" s="24">
        <v>27900</v>
      </c>
      <c r="E109" s="24">
        <v>28700</v>
      </c>
      <c r="F109" s="24">
        <f t="shared" ref="F109:F163" si="18">E109+(E109*$E$2)</f>
        <v>28700</v>
      </c>
      <c r="G109" s="24">
        <f t="shared" ref="G109:G163" si="19">(((F109/$K$20)+ ((F109/$K$20)*$K$24)+ ((F109/$K$20)*$K$25)+ ((F109/$K$20)*$K$26)+ ((F109/$K$20)*($K$29/1000))+ ((F109/$K$20)*($K$30/100)))*$K$20)+$L$37</f>
        <v>57324.070000000007</v>
      </c>
      <c r="H109" s="155"/>
    </row>
    <row r="110" spans="2:8" x14ac:dyDescent="0.25">
      <c r="B110" s="25">
        <f t="shared" si="15"/>
        <v>105</v>
      </c>
      <c r="C110" s="8" t="s">
        <v>230</v>
      </c>
      <c r="D110" s="24">
        <v>47800</v>
      </c>
      <c r="E110" s="24">
        <v>50100</v>
      </c>
      <c r="F110" s="24">
        <f t="shared" si="18"/>
        <v>50100</v>
      </c>
      <c r="G110" s="24">
        <f t="shared" si="19"/>
        <v>85711.17</v>
      </c>
      <c r="H110" s="155"/>
    </row>
    <row r="111" spans="2:8" x14ac:dyDescent="0.25">
      <c r="B111" s="25">
        <f t="shared" si="15"/>
        <v>106</v>
      </c>
      <c r="C111" s="8" t="s">
        <v>229</v>
      </c>
      <c r="D111" s="24">
        <v>80500</v>
      </c>
      <c r="E111" s="24">
        <v>94500</v>
      </c>
      <c r="F111" s="24">
        <f t="shared" si="18"/>
        <v>94500</v>
      </c>
      <c r="G111" s="24">
        <f t="shared" si="19"/>
        <v>144607.76999999999</v>
      </c>
      <c r="H111" s="155"/>
    </row>
    <row r="112" spans="2:8" x14ac:dyDescent="0.25">
      <c r="B112" s="138">
        <f t="shared" si="15"/>
        <v>107</v>
      </c>
      <c r="C112" s="1" t="s">
        <v>380</v>
      </c>
      <c r="D112" s="137">
        <f>75000/1.2325</f>
        <v>60851.926977687632</v>
      </c>
      <c r="E112" s="137">
        <f>D112*1.2325</f>
        <v>75000</v>
      </c>
      <c r="F112" s="137">
        <f t="shared" si="18"/>
        <v>75000</v>
      </c>
      <c r="G112" s="137">
        <f>(((F112/$K$20)+ ((F112/$K$20)*$K$24)+ ((F112/$K$20)*$K$25)+ ((F112/$K$20)*$K$26)+ ((F112/$K$20)*($K$29/1000))+ ((F112/$K$20)*($K$30/100)))*$K$20)+$L$37</f>
        <v>118741.01999999999</v>
      </c>
      <c r="H112" s="155"/>
    </row>
    <row r="113" spans="2:8" x14ac:dyDescent="0.25">
      <c r="B113" s="25">
        <f t="shared" si="15"/>
        <v>108</v>
      </c>
      <c r="C113" s="8" t="s">
        <v>228</v>
      </c>
      <c r="D113" s="24">
        <v>84500</v>
      </c>
      <c r="E113" s="24">
        <v>89000</v>
      </c>
      <c r="F113" s="24">
        <f t="shared" si="18"/>
        <v>89000</v>
      </c>
      <c r="G113" s="24">
        <f t="shared" si="19"/>
        <v>137312.02000000002</v>
      </c>
      <c r="H113" s="155"/>
    </row>
    <row r="114" spans="2:8" x14ac:dyDescent="0.25">
      <c r="B114" s="25">
        <f t="shared" si="15"/>
        <v>109</v>
      </c>
      <c r="C114" s="8" t="s">
        <v>227</v>
      </c>
      <c r="D114" s="24">
        <v>127000</v>
      </c>
      <c r="E114" s="24">
        <v>159000</v>
      </c>
      <c r="F114" s="24">
        <f t="shared" si="18"/>
        <v>159000</v>
      </c>
      <c r="G114" s="24">
        <f t="shared" si="19"/>
        <v>230167.02</v>
      </c>
      <c r="H114" s="155"/>
    </row>
    <row r="115" spans="2:8" x14ac:dyDescent="0.25">
      <c r="B115" s="25">
        <f t="shared" si="15"/>
        <v>110</v>
      </c>
      <c r="C115" s="8" t="s">
        <v>226</v>
      </c>
      <c r="D115" s="24">
        <v>67200</v>
      </c>
      <c r="E115" s="24">
        <v>80200</v>
      </c>
      <c r="F115" s="24">
        <f t="shared" si="18"/>
        <v>80200</v>
      </c>
      <c r="G115" s="24">
        <f t="shared" si="19"/>
        <v>125638.82</v>
      </c>
      <c r="H115" s="155"/>
    </row>
    <row r="116" spans="2:8" x14ac:dyDescent="0.25">
      <c r="B116" s="25">
        <f t="shared" si="15"/>
        <v>111</v>
      </c>
      <c r="C116" s="8" t="s">
        <v>225</v>
      </c>
      <c r="D116" s="24">
        <v>113000</v>
      </c>
      <c r="E116" s="24">
        <v>129000</v>
      </c>
      <c r="F116" s="24">
        <f t="shared" si="18"/>
        <v>129000</v>
      </c>
      <c r="G116" s="24">
        <f t="shared" si="19"/>
        <v>190372.01999999996</v>
      </c>
      <c r="H116" s="155"/>
    </row>
    <row r="117" spans="2:8" x14ac:dyDescent="0.25">
      <c r="B117" s="25">
        <f t="shared" si="15"/>
        <v>112</v>
      </c>
      <c r="C117" s="8" t="s">
        <v>224</v>
      </c>
      <c r="D117" s="24">
        <v>31700</v>
      </c>
      <c r="E117" s="24">
        <v>39000</v>
      </c>
      <c r="F117" s="24">
        <f t="shared" si="18"/>
        <v>39000</v>
      </c>
      <c r="G117" s="24">
        <f t="shared" si="19"/>
        <v>70987.02</v>
      </c>
      <c r="H117" s="155"/>
    </row>
    <row r="118" spans="2:8" x14ac:dyDescent="0.25">
      <c r="B118" s="25">
        <f t="shared" si="15"/>
        <v>113</v>
      </c>
      <c r="C118" s="8" t="s">
        <v>223</v>
      </c>
      <c r="D118" s="24">
        <v>26300</v>
      </c>
      <c r="E118" s="24">
        <v>28800</v>
      </c>
      <c r="F118" s="24">
        <f t="shared" si="18"/>
        <v>28800</v>
      </c>
      <c r="G118" s="24">
        <f t="shared" si="19"/>
        <v>57456.72</v>
      </c>
      <c r="H118" s="155"/>
    </row>
    <row r="119" spans="2:8" x14ac:dyDescent="0.25">
      <c r="B119" s="25">
        <f t="shared" si="15"/>
        <v>114</v>
      </c>
      <c r="C119" s="8" t="s">
        <v>222</v>
      </c>
      <c r="D119" s="24">
        <v>93500</v>
      </c>
      <c r="E119" s="24">
        <v>96100</v>
      </c>
      <c r="F119" s="24">
        <f t="shared" si="18"/>
        <v>96100</v>
      </c>
      <c r="G119" s="24">
        <f t="shared" si="19"/>
        <v>146730.17000000001</v>
      </c>
      <c r="H119" s="155"/>
    </row>
    <row r="120" spans="2:8" x14ac:dyDescent="0.25">
      <c r="B120" s="25">
        <f t="shared" si="15"/>
        <v>115</v>
      </c>
      <c r="C120" s="8" t="s">
        <v>221</v>
      </c>
      <c r="D120" s="24">
        <v>28600</v>
      </c>
      <c r="E120" s="24">
        <v>29500</v>
      </c>
      <c r="F120" s="24">
        <f t="shared" si="18"/>
        <v>29500</v>
      </c>
      <c r="G120" s="24">
        <f t="shared" si="19"/>
        <v>58385.270000000004</v>
      </c>
      <c r="H120" s="155"/>
    </row>
    <row r="121" spans="2:8" x14ac:dyDescent="0.25">
      <c r="B121" s="25">
        <f t="shared" si="15"/>
        <v>116</v>
      </c>
      <c r="C121" s="8" t="s">
        <v>220</v>
      </c>
      <c r="D121" s="24">
        <v>69100</v>
      </c>
      <c r="E121" s="24">
        <v>81900</v>
      </c>
      <c r="F121" s="24">
        <f t="shared" si="18"/>
        <v>81900</v>
      </c>
      <c r="G121" s="24">
        <f t="shared" si="19"/>
        <v>127893.87000000001</v>
      </c>
      <c r="H121" s="155"/>
    </row>
    <row r="122" spans="2:8" x14ac:dyDescent="0.25">
      <c r="B122" s="25">
        <f t="shared" si="15"/>
        <v>117</v>
      </c>
      <c r="C122" s="8" t="s">
        <v>219</v>
      </c>
      <c r="D122" s="24">
        <v>123000</v>
      </c>
      <c r="E122" s="24">
        <v>141000</v>
      </c>
      <c r="F122" s="24">
        <f t="shared" si="18"/>
        <v>141000</v>
      </c>
      <c r="G122" s="24">
        <f t="shared" si="19"/>
        <v>206290.01999999996</v>
      </c>
      <c r="H122" s="155"/>
    </row>
    <row r="123" spans="2:8" x14ac:dyDescent="0.25">
      <c r="B123" s="25">
        <f t="shared" si="15"/>
        <v>118</v>
      </c>
      <c r="C123" s="8" t="s">
        <v>218</v>
      </c>
      <c r="D123" s="24">
        <v>151000</v>
      </c>
      <c r="E123" s="24">
        <v>155000</v>
      </c>
      <c r="F123" s="24">
        <f t="shared" si="18"/>
        <v>155000</v>
      </c>
      <c r="G123" s="24">
        <f t="shared" si="19"/>
        <v>224861.02000000002</v>
      </c>
      <c r="H123" s="155"/>
    </row>
    <row r="124" spans="2:8" x14ac:dyDescent="0.25">
      <c r="B124" s="138">
        <f t="shared" si="15"/>
        <v>119</v>
      </c>
      <c r="C124" s="1" t="s">
        <v>383</v>
      </c>
      <c r="D124" s="137">
        <f>60000/1.2325</f>
        <v>48681.541582150101</v>
      </c>
      <c r="E124" s="137">
        <f>D124*1.2325</f>
        <v>59999.999999999993</v>
      </c>
      <c r="F124" s="137">
        <f t="shared" ref="F124" si="20">E124+(E124*$E$2)</f>
        <v>59999.999999999993</v>
      </c>
      <c r="G124" s="137">
        <f>(((F124/$K$20)+ ((F124/$K$20)*$K$24)+ ((F124/$K$20)*$K$25)+ ((F124/$K$20)*$K$26)+ ((F124/$K$20)*($K$29/1000))+ ((F124/$K$20)*($K$30/100)))*$K$20)+$L$37</f>
        <v>98843.520000000004</v>
      </c>
    </row>
    <row r="125" spans="2:8" x14ac:dyDescent="0.25">
      <c r="B125" s="25">
        <f t="shared" si="15"/>
        <v>120</v>
      </c>
      <c r="C125" s="8" t="s">
        <v>217</v>
      </c>
      <c r="D125" s="24">
        <v>40200</v>
      </c>
      <c r="E125" s="24">
        <v>47400</v>
      </c>
      <c r="F125" s="24">
        <f t="shared" si="18"/>
        <v>47400</v>
      </c>
      <c r="G125" s="24">
        <f t="shared" si="19"/>
        <v>82129.62000000001</v>
      </c>
    </row>
    <row r="126" spans="2:8" x14ac:dyDescent="0.25">
      <c r="B126" s="25">
        <f t="shared" si="15"/>
        <v>121</v>
      </c>
      <c r="C126" s="8" t="s">
        <v>216</v>
      </c>
      <c r="D126" s="24">
        <v>85800</v>
      </c>
      <c r="E126" s="24">
        <v>91100</v>
      </c>
      <c r="F126" s="24">
        <f t="shared" si="18"/>
        <v>91100</v>
      </c>
      <c r="G126" s="24">
        <f t="shared" si="19"/>
        <v>140097.66999999998</v>
      </c>
    </row>
    <row r="127" spans="2:8" x14ac:dyDescent="0.25">
      <c r="B127" s="138">
        <f t="shared" si="15"/>
        <v>122</v>
      </c>
      <c r="C127" s="1" t="s">
        <v>215</v>
      </c>
      <c r="D127" s="137">
        <f>60000/1.2325</f>
        <v>48681.541582150101</v>
      </c>
      <c r="E127" s="137">
        <f>D127*1.2325</f>
        <v>59999.999999999993</v>
      </c>
      <c r="F127" s="137">
        <f t="shared" si="18"/>
        <v>59999.999999999993</v>
      </c>
      <c r="G127" s="137">
        <f t="shared" si="19"/>
        <v>98843.520000000004</v>
      </c>
    </row>
    <row r="128" spans="2:8" x14ac:dyDescent="0.25">
      <c r="B128" s="25">
        <f t="shared" si="15"/>
        <v>123</v>
      </c>
      <c r="C128" s="8" t="s">
        <v>214</v>
      </c>
      <c r="D128" s="24">
        <v>137000</v>
      </c>
      <c r="E128" s="24">
        <v>164000</v>
      </c>
      <c r="F128" s="24">
        <f t="shared" si="18"/>
        <v>164000</v>
      </c>
      <c r="G128" s="24">
        <f t="shared" si="19"/>
        <v>236799.51999999996</v>
      </c>
    </row>
    <row r="129" spans="2:12" x14ac:dyDescent="0.25">
      <c r="B129" s="25">
        <f t="shared" si="15"/>
        <v>124</v>
      </c>
      <c r="C129" s="8" t="s">
        <v>213</v>
      </c>
      <c r="D129" s="24">
        <v>117000</v>
      </c>
      <c r="E129" s="24">
        <v>138000</v>
      </c>
      <c r="F129" s="24">
        <f t="shared" si="18"/>
        <v>138000</v>
      </c>
      <c r="G129" s="24">
        <f t="shared" si="19"/>
        <v>202310.52</v>
      </c>
    </row>
    <row r="130" spans="2:12" x14ac:dyDescent="0.25">
      <c r="B130" s="25">
        <f t="shared" si="15"/>
        <v>125</v>
      </c>
      <c r="C130" s="8" t="s">
        <v>212</v>
      </c>
      <c r="D130" s="24">
        <v>165000</v>
      </c>
      <c r="E130" s="24">
        <v>188000</v>
      </c>
      <c r="F130" s="24">
        <f t="shared" si="18"/>
        <v>188000</v>
      </c>
      <c r="G130" s="24">
        <f t="shared" si="19"/>
        <v>268635.51999999996</v>
      </c>
    </row>
    <row r="131" spans="2:12" x14ac:dyDescent="0.25">
      <c r="B131" s="25">
        <f t="shared" si="15"/>
        <v>126</v>
      </c>
      <c r="C131" s="8" t="s">
        <v>211</v>
      </c>
      <c r="D131" s="24">
        <v>89900</v>
      </c>
      <c r="E131" s="24">
        <v>98600</v>
      </c>
      <c r="F131" s="24">
        <f t="shared" si="18"/>
        <v>98600</v>
      </c>
      <c r="G131" s="24">
        <f t="shared" si="19"/>
        <v>150046.41999999998</v>
      </c>
    </row>
    <row r="132" spans="2:12" x14ac:dyDescent="0.25">
      <c r="B132" s="25">
        <f t="shared" si="15"/>
        <v>127</v>
      </c>
      <c r="C132" s="8" t="s">
        <v>210</v>
      </c>
      <c r="D132" s="24">
        <v>135000</v>
      </c>
      <c r="E132" s="24">
        <v>140000</v>
      </c>
      <c r="F132" s="24">
        <f t="shared" si="18"/>
        <v>140000</v>
      </c>
      <c r="G132" s="24">
        <f t="shared" si="19"/>
        <v>204963.52</v>
      </c>
    </row>
    <row r="133" spans="2:12" x14ac:dyDescent="0.25">
      <c r="B133" s="25">
        <f t="shared" si="15"/>
        <v>128</v>
      </c>
      <c r="C133" s="8" t="s">
        <v>209</v>
      </c>
      <c r="D133" s="24">
        <v>89500</v>
      </c>
      <c r="E133" s="24">
        <v>110000</v>
      </c>
      <c r="F133" s="24">
        <f t="shared" si="18"/>
        <v>110000</v>
      </c>
      <c r="G133" s="24">
        <f t="shared" si="19"/>
        <v>165168.52000000002</v>
      </c>
    </row>
    <row r="134" spans="2:12" x14ac:dyDescent="0.25">
      <c r="B134" s="25">
        <f t="shared" si="15"/>
        <v>129</v>
      </c>
      <c r="C134" s="8" t="s">
        <v>208</v>
      </c>
      <c r="D134" s="24">
        <v>24100</v>
      </c>
      <c r="E134" s="24">
        <v>28100</v>
      </c>
      <c r="F134" s="24">
        <f t="shared" si="18"/>
        <v>28100</v>
      </c>
      <c r="G134" s="24">
        <f t="shared" si="19"/>
        <v>56528.17</v>
      </c>
    </row>
    <row r="135" spans="2:12" x14ac:dyDescent="0.25">
      <c r="B135" s="25">
        <f t="shared" si="15"/>
        <v>130</v>
      </c>
      <c r="C135" s="8" t="s">
        <v>207</v>
      </c>
      <c r="D135" s="24">
        <v>154000</v>
      </c>
      <c r="E135" s="24">
        <v>184000</v>
      </c>
      <c r="F135" s="24">
        <f t="shared" si="18"/>
        <v>184000</v>
      </c>
      <c r="G135" s="24">
        <f t="shared" si="19"/>
        <v>263329.52</v>
      </c>
    </row>
    <row r="136" spans="2:12" x14ac:dyDescent="0.25">
      <c r="B136" s="25">
        <f t="shared" si="15"/>
        <v>131</v>
      </c>
      <c r="C136" s="8" t="s">
        <v>206</v>
      </c>
      <c r="D136" s="24">
        <v>37400</v>
      </c>
      <c r="E136" s="24">
        <v>42300</v>
      </c>
      <c r="F136" s="24">
        <f t="shared" si="18"/>
        <v>42300</v>
      </c>
      <c r="G136" s="24">
        <f t="shared" si="19"/>
        <v>75364.470000000016</v>
      </c>
    </row>
    <row r="137" spans="2:12" x14ac:dyDescent="0.25">
      <c r="B137" s="25">
        <f t="shared" si="15"/>
        <v>132</v>
      </c>
      <c r="C137" s="8" t="s">
        <v>205</v>
      </c>
      <c r="D137" s="24">
        <v>63400</v>
      </c>
      <c r="E137" s="24">
        <v>78100</v>
      </c>
      <c r="F137" s="24">
        <f t="shared" si="18"/>
        <v>78100</v>
      </c>
      <c r="G137" s="24">
        <f t="shared" si="19"/>
        <v>122853.17</v>
      </c>
    </row>
    <row r="138" spans="2:12" x14ac:dyDescent="0.25">
      <c r="B138" s="25">
        <f t="shared" si="15"/>
        <v>133</v>
      </c>
      <c r="C138" s="8" t="s">
        <v>204</v>
      </c>
      <c r="D138" s="24">
        <v>82700</v>
      </c>
      <c r="E138" s="24">
        <v>102000</v>
      </c>
      <c r="F138" s="24">
        <f t="shared" si="18"/>
        <v>102000</v>
      </c>
      <c r="G138" s="24">
        <f t="shared" si="19"/>
        <v>154556.51999999999</v>
      </c>
    </row>
    <row r="139" spans="2:12" ht="15.75" x14ac:dyDescent="0.25">
      <c r="B139" s="25">
        <f t="shared" ref="B139:B163" si="21">B138+1</f>
        <v>134</v>
      </c>
      <c r="C139" s="8" t="s">
        <v>203</v>
      </c>
      <c r="D139" s="24">
        <v>36900</v>
      </c>
      <c r="E139" s="24">
        <v>42900</v>
      </c>
      <c r="F139" s="24">
        <f t="shared" si="18"/>
        <v>42900</v>
      </c>
      <c r="G139" s="24">
        <f t="shared" si="19"/>
        <v>76160.37</v>
      </c>
      <c r="L139" s="165"/>
    </row>
    <row r="140" spans="2:12" x14ac:dyDescent="0.25">
      <c r="B140" s="25">
        <f t="shared" si="21"/>
        <v>135</v>
      </c>
      <c r="C140" s="8" t="s">
        <v>202</v>
      </c>
      <c r="D140" s="24">
        <v>34400</v>
      </c>
      <c r="E140" s="24">
        <v>39200</v>
      </c>
      <c r="F140" s="24">
        <f t="shared" si="18"/>
        <v>39200</v>
      </c>
      <c r="G140" s="24">
        <f t="shared" si="19"/>
        <v>71252.319999999992</v>
      </c>
    </row>
    <row r="141" spans="2:12" x14ac:dyDescent="0.25">
      <c r="B141" s="25">
        <f t="shared" si="21"/>
        <v>136</v>
      </c>
      <c r="C141" s="8" t="s">
        <v>201</v>
      </c>
      <c r="D141" s="24">
        <v>113000</v>
      </c>
      <c r="E141" s="24">
        <v>127000</v>
      </c>
      <c r="F141" s="24">
        <f t="shared" si="18"/>
        <v>127000</v>
      </c>
      <c r="G141" s="24">
        <f t="shared" si="19"/>
        <v>187719.01999999996</v>
      </c>
    </row>
    <row r="142" spans="2:12" x14ac:dyDescent="0.25">
      <c r="B142" s="138">
        <f t="shared" si="21"/>
        <v>137</v>
      </c>
      <c r="C142" s="1" t="s">
        <v>200</v>
      </c>
      <c r="D142" s="137">
        <f>60000/1.2325</f>
        <v>48681.541582150101</v>
      </c>
      <c r="E142" s="137">
        <f>D142*1.2325</f>
        <v>59999.999999999993</v>
      </c>
      <c r="F142" s="137">
        <f t="shared" si="18"/>
        <v>59999.999999999993</v>
      </c>
      <c r="G142" s="137">
        <f t="shared" si="19"/>
        <v>98843.520000000004</v>
      </c>
    </row>
    <row r="143" spans="2:12" x14ac:dyDescent="0.25">
      <c r="B143" s="25">
        <f t="shared" si="21"/>
        <v>138</v>
      </c>
      <c r="C143" s="8" t="s">
        <v>199</v>
      </c>
      <c r="D143" s="24">
        <v>129000</v>
      </c>
      <c r="E143" s="24">
        <v>137000</v>
      </c>
      <c r="F143" s="24">
        <f t="shared" si="18"/>
        <v>137000</v>
      </c>
      <c r="G143" s="24">
        <f t="shared" si="19"/>
        <v>200984.02000000002</v>
      </c>
    </row>
    <row r="144" spans="2:12" x14ac:dyDescent="0.25">
      <c r="B144" s="25">
        <f t="shared" si="21"/>
        <v>139</v>
      </c>
      <c r="C144" s="8" t="s">
        <v>198</v>
      </c>
      <c r="D144" s="24">
        <v>32400</v>
      </c>
      <c r="E144" s="24">
        <v>39800</v>
      </c>
      <c r="F144" s="24">
        <f t="shared" si="18"/>
        <v>39800</v>
      </c>
      <c r="G144" s="24">
        <f t="shared" si="19"/>
        <v>72048.219999999987</v>
      </c>
    </row>
    <row r="145" spans="2:7" x14ac:dyDescent="0.25">
      <c r="B145" s="25">
        <f t="shared" si="21"/>
        <v>140</v>
      </c>
      <c r="C145" s="8" t="s">
        <v>197</v>
      </c>
      <c r="D145" s="24">
        <v>40000</v>
      </c>
      <c r="E145" s="24">
        <v>47500</v>
      </c>
      <c r="F145" s="24">
        <f t="shared" si="18"/>
        <v>47500</v>
      </c>
      <c r="G145" s="24">
        <f t="shared" si="19"/>
        <v>82262.26999999999</v>
      </c>
    </row>
    <row r="146" spans="2:7" x14ac:dyDescent="0.25">
      <c r="B146" s="25">
        <f t="shared" si="21"/>
        <v>141</v>
      </c>
      <c r="C146" s="8" t="s">
        <v>196</v>
      </c>
      <c r="D146" s="24">
        <v>131000</v>
      </c>
      <c r="E146" s="24">
        <v>151000</v>
      </c>
      <c r="F146" s="24">
        <f t="shared" si="18"/>
        <v>151000</v>
      </c>
      <c r="G146" s="24">
        <f t="shared" si="19"/>
        <v>219555.02</v>
      </c>
    </row>
    <row r="147" spans="2:7" x14ac:dyDescent="0.25">
      <c r="B147" s="138">
        <f t="shared" si="21"/>
        <v>142</v>
      </c>
      <c r="C147" s="1" t="s">
        <v>384</v>
      </c>
      <c r="D147" s="137">
        <f>60000/1.2325</f>
        <v>48681.541582150101</v>
      </c>
      <c r="E147" s="137">
        <f>D147*1.2325</f>
        <v>59999.999999999993</v>
      </c>
      <c r="F147" s="137">
        <f t="shared" si="18"/>
        <v>59999.999999999993</v>
      </c>
      <c r="G147" s="137">
        <f t="shared" si="19"/>
        <v>98843.520000000004</v>
      </c>
    </row>
    <row r="148" spans="2:7" x14ac:dyDescent="0.25">
      <c r="B148" s="25">
        <f t="shared" si="21"/>
        <v>143</v>
      </c>
      <c r="C148" s="8" t="s">
        <v>195</v>
      </c>
      <c r="D148" s="24">
        <v>100000</v>
      </c>
      <c r="E148" s="24">
        <v>122000</v>
      </c>
      <c r="F148" s="24">
        <f t="shared" si="18"/>
        <v>122000</v>
      </c>
      <c r="G148" s="24">
        <f t="shared" si="19"/>
        <v>181086.51999999996</v>
      </c>
    </row>
    <row r="149" spans="2:7" x14ac:dyDescent="0.25">
      <c r="B149" s="25">
        <f t="shared" si="21"/>
        <v>144</v>
      </c>
      <c r="C149" s="8" t="s">
        <v>194</v>
      </c>
      <c r="D149" s="24">
        <v>26700</v>
      </c>
      <c r="E149" s="24">
        <v>31600</v>
      </c>
      <c r="F149" s="24">
        <f t="shared" si="18"/>
        <v>31600</v>
      </c>
      <c r="G149" s="24">
        <f t="shared" si="19"/>
        <v>61170.920000000013</v>
      </c>
    </row>
    <row r="150" spans="2:7" x14ac:dyDescent="0.25">
      <c r="B150" s="25">
        <f t="shared" si="21"/>
        <v>145</v>
      </c>
      <c r="C150" s="8" t="s">
        <v>193</v>
      </c>
      <c r="D150" s="24">
        <v>33000</v>
      </c>
      <c r="E150" s="24">
        <v>34400</v>
      </c>
      <c r="F150" s="24">
        <f t="shared" si="18"/>
        <v>34400</v>
      </c>
      <c r="G150" s="24">
        <f t="shared" si="19"/>
        <v>64885.119999999995</v>
      </c>
    </row>
    <row r="151" spans="2:7" x14ac:dyDescent="0.25">
      <c r="B151" s="25">
        <f t="shared" si="21"/>
        <v>146</v>
      </c>
      <c r="C151" s="8" t="s">
        <v>192</v>
      </c>
      <c r="D151" s="24">
        <v>24400</v>
      </c>
      <c r="E151" s="24">
        <v>27700</v>
      </c>
      <c r="F151" s="24">
        <f t="shared" si="18"/>
        <v>27700</v>
      </c>
      <c r="G151" s="24">
        <f t="shared" si="19"/>
        <v>55997.569999999992</v>
      </c>
    </row>
    <row r="152" spans="2:7" x14ac:dyDescent="0.25">
      <c r="B152" s="25">
        <f t="shared" si="21"/>
        <v>147</v>
      </c>
      <c r="C152" s="8" t="s">
        <v>191</v>
      </c>
      <c r="D152" s="24">
        <v>76400</v>
      </c>
      <c r="E152" s="24">
        <v>84500</v>
      </c>
      <c r="F152" s="24">
        <f t="shared" si="18"/>
        <v>84500</v>
      </c>
      <c r="G152" s="24">
        <f t="shared" si="19"/>
        <v>131342.76999999999</v>
      </c>
    </row>
    <row r="153" spans="2:7" x14ac:dyDescent="0.25">
      <c r="B153" s="25">
        <f t="shared" si="21"/>
        <v>148</v>
      </c>
      <c r="C153" s="8" t="s">
        <v>190</v>
      </c>
      <c r="D153" s="24">
        <v>119000</v>
      </c>
      <c r="E153" s="24">
        <v>123000</v>
      </c>
      <c r="F153" s="24">
        <f t="shared" si="18"/>
        <v>123000</v>
      </c>
      <c r="G153" s="24">
        <f t="shared" si="19"/>
        <v>182413.02</v>
      </c>
    </row>
    <row r="154" spans="2:7" x14ac:dyDescent="0.25">
      <c r="B154" s="25">
        <f t="shared" si="21"/>
        <v>149</v>
      </c>
      <c r="C154" s="8" t="s">
        <v>189</v>
      </c>
      <c r="D154" s="24">
        <v>37000</v>
      </c>
      <c r="E154" s="24">
        <v>39500</v>
      </c>
      <c r="F154" s="24">
        <f t="shared" si="18"/>
        <v>39500</v>
      </c>
      <c r="G154" s="24">
        <f t="shared" si="19"/>
        <v>71650.270000000019</v>
      </c>
    </row>
    <row r="155" spans="2:7" x14ac:dyDescent="0.25">
      <c r="B155" s="25">
        <f t="shared" si="21"/>
        <v>150</v>
      </c>
      <c r="C155" s="8" t="s">
        <v>188</v>
      </c>
      <c r="D155" s="24">
        <v>158000</v>
      </c>
      <c r="E155" s="24">
        <v>163000</v>
      </c>
      <c r="F155" s="24">
        <f t="shared" si="18"/>
        <v>163000</v>
      </c>
      <c r="G155" s="24">
        <f t="shared" si="19"/>
        <v>235473.01999999996</v>
      </c>
    </row>
    <row r="156" spans="2:7" x14ac:dyDescent="0.25">
      <c r="B156" s="138">
        <f t="shared" si="21"/>
        <v>151</v>
      </c>
      <c r="C156" s="1" t="s">
        <v>187</v>
      </c>
      <c r="D156" s="137">
        <f>50000/1.2325</f>
        <v>40567.951318458421</v>
      </c>
      <c r="E156" s="137">
        <f>D156*1.2325</f>
        <v>50000</v>
      </c>
      <c r="F156" s="137">
        <f t="shared" si="18"/>
        <v>50000</v>
      </c>
      <c r="G156" s="137">
        <f t="shared" si="19"/>
        <v>85578.52</v>
      </c>
    </row>
    <row r="157" spans="2:7" x14ac:dyDescent="0.25">
      <c r="B157" s="25">
        <f t="shared" si="21"/>
        <v>152</v>
      </c>
      <c r="C157" s="8" t="s">
        <v>186</v>
      </c>
      <c r="D157" s="24">
        <v>45000</v>
      </c>
      <c r="E157" s="24">
        <v>46800</v>
      </c>
      <c r="F157" s="24">
        <f t="shared" si="18"/>
        <v>46800</v>
      </c>
      <c r="G157" s="24">
        <f t="shared" si="19"/>
        <v>81333.72</v>
      </c>
    </row>
    <row r="158" spans="2:7" x14ac:dyDescent="0.25">
      <c r="B158" s="25">
        <f t="shared" si="21"/>
        <v>153</v>
      </c>
      <c r="C158" s="8" t="s">
        <v>185</v>
      </c>
      <c r="D158" s="24">
        <v>27200</v>
      </c>
      <c r="E158" s="24">
        <v>32700</v>
      </c>
      <c r="F158" s="24">
        <f t="shared" si="18"/>
        <v>32700</v>
      </c>
      <c r="G158" s="24">
        <f t="shared" si="19"/>
        <v>62630.070000000007</v>
      </c>
    </row>
    <row r="159" spans="2:7" x14ac:dyDescent="0.25">
      <c r="B159" s="25">
        <f t="shared" si="21"/>
        <v>154</v>
      </c>
      <c r="C159" s="8" t="s">
        <v>184</v>
      </c>
      <c r="D159" s="24">
        <v>30900</v>
      </c>
      <c r="E159" s="24">
        <v>31800</v>
      </c>
      <c r="F159" s="24">
        <f t="shared" si="18"/>
        <v>31800</v>
      </c>
      <c r="G159" s="24">
        <f t="shared" si="19"/>
        <v>61436.22</v>
      </c>
    </row>
    <row r="160" spans="2:7" x14ac:dyDescent="0.25">
      <c r="B160" s="25">
        <f t="shared" si="21"/>
        <v>155</v>
      </c>
      <c r="C160" s="8" t="s">
        <v>183</v>
      </c>
      <c r="D160" s="24">
        <v>28800</v>
      </c>
      <c r="E160" s="24">
        <v>34200</v>
      </c>
      <c r="F160" s="24">
        <f t="shared" si="18"/>
        <v>34200</v>
      </c>
      <c r="G160" s="24">
        <f t="shared" si="19"/>
        <v>64619.819999999992</v>
      </c>
    </row>
    <row r="161" spans="2:7" x14ac:dyDescent="0.25">
      <c r="B161" s="25">
        <f t="shared" si="21"/>
        <v>156</v>
      </c>
      <c r="C161" s="8" t="s">
        <v>182</v>
      </c>
      <c r="D161" s="24">
        <v>48500</v>
      </c>
      <c r="E161" s="24">
        <v>59100</v>
      </c>
      <c r="F161" s="24">
        <f t="shared" si="18"/>
        <v>59100</v>
      </c>
      <c r="G161" s="24">
        <f t="shared" si="19"/>
        <v>97649.670000000013</v>
      </c>
    </row>
    <row r="162" spans="2:7" x14ac:dyDescent="0.25">
      <c r="B162" s="25">
        <f t="shared" si="21"/>
        <v>157</v>
      </c>
      <c r="C162" s="8" t="s">
        <v>181</v>
      </c>
      <c r="D162" s="24">
        <v>26000</v>
      </c>
      <c r="E162" s="24">
        <v>30800</v>
      </c>
      <c r="F162" s="24">
        <f t="shared" si="18"/>
        <v>30800</v>
      </c>
      <c r="G162" s="24">
        <f t="shared" si="19"/>
        <v>60109.720000000016</v>
      </c>
    </row>
    <row r="163" spans="2:7" x14ac:dyDescent="0.25">
      <c r="B163" s="25">
        <f t="shared" si="21"/>
        <v>158</v>
      </c>
      <c r="C163" s="8" t="s">
        <v>180</v>
      </c>
      <c r="D163" s="24">
        <v>101000</v>
      </c>
      <c r="E163" s="24">
        <v>107000</v>
      </c>
      <c r="F163" s="24">
        <f t="shared" si="18"/>
        <v>107000</v>
      </c>
      <c r="G163" s="24">
        <f t="shared" si="19"/>
        <v>161189.01999999999</v>
      </c>
    </row>
    <row r="164" spans="2:7" s="2" customFormat="1" x14ac:dyDescent="0.25">
      <c r="D164" s="166"/>
      <c r="E164" s="166"/>
    </row>
    <row r="165" spans="2:7" s="2" customFormat="1" x14ac:dyDescent="0.25">
      <c r="D165" s="166"/>
      <c r="E165" s="166"/>
    </row>
    <row r="166" spans="2:7" s="2" customFormat="1" x14ac:dyDescent="0.25">
      <c r="D166" s="166"/>
      <c r="E166" s="166"/>
    </row>
    <row r="167" spans="2:7" s="2" customFormat="1" x14ac:dyDescent="0.25">
      <c r="D167" s="166"/>
      <c r="E167" s="166"/>
    </row>
    <row r="168" spans="2:7" s="2" customFormat="1" x14ac:dyDescent="0.25">
      <c r="D168" s="166"/>
      <c r="E168" s="166"/>
    </row>
    <row r="169" spans="2:7" s="2" customFormat="1" x14ac:dyDescent="0.25">
      <c r="D169" s="166"/>
      <c r="E169" s="166"/>
    </row>
    <row r="170" spans="2:7" s="2" customFormat="1" x14ac:dyDescent="0.25">
      <c r="D170" s="166"/>
      <c r="E170" s="166"/>
    </row>
    <row r="171" spans="2:7" s="2" customFormat="1" x14ac:dyDescent="0.25">
      <c r="D171" s="166"/>
      <c r="E171" s="166"/>
    </row>
    <row r="172" spans="2:7" s="2" customFormat="1" x14ac:dyDescent="0.25">
      <c r="D172" s="166"/>
      <c r="E172" s="166"/>
    </row>
    <row r="173" spans="2:7" s="2" customFormat="1" x14ac:dyDescent="0.25">
      <c r="D173" s="166"/>
      <c r="E173" s="166"/>
    </row>
    <row r="174" spans="2:7" s="2" customFormat="1" x14ac:dyDescent="0.25">
      <c r="D174" s="166"/>
      <c r="E174" s="166"/>
    </row>
    <row r="175" spans="2:7" s="2" customFormat="1" x14ac:dyDescent="0.25">
      <c r="D175" s="166"/>
      <c r="E175" s="166"/>
    </row>
    <row r="176" spans="2:7" s="2" customFormat="1" x14ac:dyDescent="0.25">
      <c r="D176" s="166"/>
      <c r="E176" s="166"/>
    </row>
    <row r="177" spans="4:5" s="2" customFormat="1" x14ac:dyDescent="0.25">
      <c r="D177" s="166"/>
      <c r="E177" s="166"/>
    </row>
    <row r="178" spans="4:5" s="2" customFormat="1" x14ac:dyDescent="0.25">
      <c r="D178" s="166"/>
      <c r="E178" s="166"/>
    </row>
    <row r="179" spans="4:5" s="2" customFormat="1" x14ac:dyDescent="0.25">
      <c r="D179" s="166"/>
      <c r="E179" s="166"/>
    </row>
    <row r="180" spans="4:5" s="2" customFormat="1" x14ac:dyDescent="0.25">
      <c r="D180" s="166"/>
      <c r="E180" s="166"/>
    </row>
    <row r="181" spans="4:5" s="2" customFormat="1" x14ac:dyDescent="0.25">
      <c r="D181" s="166"/>
      <c r="E181" s="166"/>
    </row>
    <row r="182" spans="4:5" s="2" customFormat="1" x14ac:dyDescent="0.25">
      <c r="D182" s="166"/>
      <c r="E182" s="166"/>
    </row>
    <row r="183" spans="4:5" s="2" customFormat="1" x14ac:dyDescent="0.25">
      <c r="D183" s="166"/>
      <c r="E183" s="166"/>
    </row>
    <row r="184" spans="4:5" s="2" customFormat="1" x14ac:dyDescent="0.25">
      <c r="D184" s="166"/>
      <c r="E184" s="166"/>
    </row>
    <row r="185" spans="4:5" s="2" customFormat="1" x14ac:dyDescent="0.25">
      <c r="D185" s="166"/>
      <c r="E185" s="166"/>
    </row>
    <row r="186" spans="4:5" s="2" customFormat="1" x14ac:dyDescent="0.25">
      <c r="D186" s="166"/>
      <c r="E186" s="166"/>
    </row>
    <row r="187" spans="4:5" s="2" customFormat="1" x14ac:dyDescent="0.25">
      <c r="D187" s="166"/>
      <c r="E187" s="166"/>
    </row>
    <row r="188" spans="4:5" s="2" customFormat="1" x14ac:dyDescent="0.25">
      <c r="D188" s="166"/>
      <c r="E188" s="166"/>
    </row>
    <row r="189" spans="4:5" s="2" customFormat="1" x14ac:dyDescent="0.25">
      <c r="D189" s="166"/>
      <c r="E189" s="166"/>
    </row>
    <row r="190" spans="4:5" s="2" customFormat="1" x14ac:dyDescent="0.25">
      <c r="D190" s="166"/>
      <c r="E190" s="166"/>
    </row>
    <row r="191" spans="4:5" s="2" customFormat="1" x14ac:dyDescent="0.25">
      <c r="D191" s="166"/>
      <c r="E191" s="166"/>
    </row>
    <row r="192" spans="4:5" s="2" customFormat="1" x14ac:dyDescent="0.25">
      <c r="D192" s="166"/>
      <c r="E192" s="166"/>
    </row>
    <row r="193" spans="4:5" s="2" customFormat="1" x14ac:dyDescent="0.25">
      <c r="D193" s="166"/>
      <c r="E193" s="166"/>
    </row>
    <row r="194" spans="4:5" s="2" customFormat="1" x14ac:dyDescent="0.25">
      <c r="D194" s="166"/>
      <c r="E194" s="166"/>
    </row>
    <row r="195" spans="4:5" s="2" customFormat="1" x14ac:dyDescent="0.25">
      <c r="D195" s="166"/>
      <c r="E195" s="166"/>
    </row>
    <row r="196" spans="4:5" s="2" customFormat="1" x14ac:dyDescent="0.25">
      <c r="D196" s="166"/>
      <c r="E196" s="166"/>
    </row>
    <row r="197" spans="4:5" s="2" customFormat="1" x14ac:dyDescent="0.25">
      <c r="D197" s="166"/>
      <c r="E197" s="166"/>
    </row>
    <row r="198" spans="4:5" s="2" customFormat="1" x14ac:dyDescent="0.25">
      <c r="D198" s="166"/>
      <c r="E198" s="166"/>
    </row>
    <row r="199" spans="4:5" s="2" customFormat="1" x14ac:dyDescent="0.25">
      <c r="D199" s="166"/>
      <c r="E199" s="166"/>
    </row>
    <row r="200" spans="4:5" s="2" customFormat="1" x14ac:dyDescent="0.25">
      <c r="D200" s="166"/>
      <c r="E200" s="166"/>
    </row>
    <row r="201" spans="4:5" s="2" customFormat="1" x14ac:dyDescent="0.25">
      <c r="D201" s="166"/>
      <c r="E201" s="166"/>
    </row>
    <row r="202" spans="4:5" s="2" customFormat="1" x14ac:dyDescent="0.25">
      <c r="D202" s="166"/>
      <c r="E202" s="166"/>
    </row>
    <row r="203" spans="4:5" s="2" customFormat="1" x14ac:dyDescent="0.25">
      <c r="D203" s="166"/>
      <c r="E203" s="166"/>
    </row>
    <row r="204" spans="4:5" s="2" customFormat="1" x14ac:dyDescent="0.25">
      <c r="D204" s="166"/>
      <c r="E204" s="166"/>
    </row>
    <row r="205" spans="4:5" s="2" customFormat="1" x14ac:dyDescent="0.25">
      <c r="D205" s="166"/>
      <c r="E205" s="166"/>
    </row>
    <row r="206" spans="4:5" s="2" customFormat="1" x14ac:dyDescent="0.25">
      <c r="D206" s="166"/>
      <c r="E206" s="166"/>
    </row>
    <row r="207" spans="4:5" s="2" customFormat="1" x14ac:dyDescent="0.25">
      <c r="D207" s="166"/>
      <c r="E207" s="166"/>
    </row>
    <row r="208" spans="4:5" s="2" customFormat="1" x14ac:dyDescent="0.25">
      <c r="D208" s="166"/>
      <c r="E208" s="166"/>
    </row>
    <row r="209" spans="4:5" s="2" customFormat="1" x14ac:dyDescent="0.25">
      <c r="D209" s="166"/>
      <c r="E209" s="166"/>
    </row>
    <row r="210" spans="4:5" s="2" customFormat="1" x14ac:dyDescent="0.25">
      <c r="D210" s="166"/>
      <c r="E210" s="166"/>
    </row>
    <row r="211" spans="4:5" s="2" customFormat="1" x14ac:dyDescent="0.25">
      <c r="D211" s="166"/>
      <c r="E211" s="166"/>
    </row>
    <row r="212" spans="4:5" s="2" customFormat="1" x14ac:dyDescent="0.25">
      <c r="D212" s="166"/>
      <c r="E212" s="166"/>
    </row>
    <row r="213" spans="4:5" s="2" customFormat="1" x14ac:dyDescent="0.25">
      <c r="D213" s="166"/>
      <c r="E213" s="166"/>
    </row>
    <row r="214" spans="4:5" s="2" customFormat="1" x14ac:dyDescent="0.25">
      <c r="D214" s="166"/>
      <c r="E214" s="166"/>
    </row>
    <row r="215" spans="4:5" s="2" customFormat="1" x14ac:dyDescent="0.25">
      <c r="D215" s="166"/>
      <c r="E215" s="166"/>
    </row>
    <row r="216" spans="4:5" s="2" customFormat="1" x14ac:dyDescent="0.25">
      <c r="D216" s="166"/>
      <c r="E216" s="166"/>
    </row>
    <row r="217" spans="4:5" s="2" customFormat="1" x14ac:dyDescent="0.25">
      <c r="D217" s="166"/>
      <c r="E217" s="166"/>
    </row>
    <row r="218" spans="4:5" s="2" customFormat="1" x14ac:dyDescent="0.25">
      <c r="D218" s="166"/>
      <c r="E218" s="166"/>
    </row>
    <row r="219" spans="4:5" s="2" customFormat="1" x14ac:dyDescent="0.25">
      <c r="D219" s="166"/>
      <c r="E219" s="166"/>
    </row>
    <row r="220" spans="4:5" s="2" customFormat="1" x14ac:dyDescent="0.25">
      <c r="D220" s="166"/>
      <c r="E220" s="166"/>
    </row>
    <row r="221" spans="4:5" s="2" customFormat="1" x14ac:dyDescent="0.25">
      <c r="D221" s="166"/>
      <c r="E221" s="166"/>
    </row>
    <row r="222" spans="4:5" s="2" customFormat="1" x14ac:dyDescent="0.25">
      <c r="D222" s="166"/>
      <c r="E222" s="166"/>
    </row>
    <row r="223" spans="4:5" s="2" customFormat="1" x14ac:dyDescent="0.25">
      <c r="D223" s="166"/>
      <c r="E223" s="166"/>
    </row>
    <row r="224" spans="4:5" s="2" customFormat="1" x14ac:dyDescent="0.25">
      <c r="D224" s="166"/>
      <c r="E224" s="166"/>
    </row>
    <row r="225" spans="4:5" s="2" customFormat="1" x14ac:dyDescent="0.25">
      <c r="D225" s="166"/>
      <c r="E225" s="166"/>
    </row>
    <row r="226" spans="4:5" s="2" customFormat="1" x14ac:dyDescent="0.25">
      <c r="D226" s="166"/>
      <c r="E226" s="166"/>
    </row>
    <row r="227" spans="4:5" s="2" customFormat="1" x14ac:dyDescent="0.25">
      <c r="D227" s="166"/>
      <c r="E227" s="166"/>
    </row>
    <row r="228" spans="4:5" s="2" customFormat="1" x14ac:dyDescent="0.25">
      <c r="D228" s="166"/>
      <c r="E228" s="166"/>
    </row>
    <row r="229" spans="4:5" s="2" customFormat="1" x14ac:dyDescent="0.25">
      <c r="D229" s="166"/>
      <c r="E229" s="166"/>
    </row>
    <row r="230" spans="4:5" s="2" customFormat="1" x14ac:dyDescent="0.25">
      <c r="D230" s="166"/>
      <c r="E230" s="166"/>
    </row>
    <row r="231" spans="4:5" s="2" customFormat="1" x14ac:dyDescent="0.25">
      <c r="D231" s="166"/>
      <c r="E231" s="166"/>
    </row>
    <row r="232" spans="4:5" s="2" customFormat="1" x14ac:dyDescent="0.25">
      <c r="D232" s="166"/>
      <c r="E232" s="166"/>
    </row>
    <row r="233" spans="4:5" s="2" customFormat="1" x14ac:dyDescent="0.25">
      <c r="D233" s="166"/>
      <c r="E233" s="166"/>
    </row>
    <row r="234" spans="4:5" s="2" customFormat="1" x14ac:dyDescent="0.25">
      <c r="D234" s="166"/>
      <c r="E234" s="166"/>
    </row>
    <row r="235" spans="4:5" s="2" customFormat="1" x14ac:dyDescent="0.25">
      <c r="D235" s="166"/>
      <c r="E235" s="166"/>
    </row>
    <row r="236" spans="4:5" s="2" customFormat="1" x14ac:dyDescent="0.25">
      <c r="D236" s="166"/>
      <c r="E236" s="166"/>
    </row>
    <row r="237" spans="4:5" s="2" customFormat="1" x14ac:dyDescent="0.25">
      <c r="D237" s="166"/>
      <c r="E237" s="166"/>
    </row>
    <row r="238" spans="4:5" s="2" customFormat="1" x14ac:dyDescent="0.25">
      <c r="D238" s="166"/>
      <c r="E238" s="166"/>
    </row>
    <row r="239" spans="4:5" s="2" customFormat="1" x14ac:dyDescent="0.25">
      <c r="D239" s="166"/>
      <c r="E239" s="166"/>
    </row>
    <row r="240" spans="4:5" s="2" customFormat="1" x14ac:dyDescent="0.25">
      <c r="D240" s="166"/>
      <c r="E240" s="166"/>
    </row>
    <row r="241" spans="4:5" s="2" customFormat="1" x14ac:dyDescent="0.25">
      <c r="D241" s="166"/>
      <c r="E241" s="166"/>
    </row>
    <row r="242" spans="4:5" s="2" customFormat="1" x14ac:dyDescent="0.25">
      <c r="D242" s="166"/>
      <c r="E242" s="166"/>
    </row>
    <row r="243" spans="4:5" s="2" customFormat="1" x14ac:dyDescent="0.25">
      <c r="D243" s="166"/>
      <c r="E243" s="166"/>
    </row>
    <row r="244" spans="4:5" s="2" customFormat="1" x14ac:dyDescent="0.25">
      <c r="D244" s="166"/>
      <c r="E244" s="166"/>
    </row>
    <row r="245" spans="4:5" s="2" customFormat="1" x14ac:dyDescent="0.25">
      <c r="D245" s="166"/>
      <c r="E245" s="166"/>
    </row>
    <row r="246" spans="4:5" s="2" customFormat="1" x14ac:dyDescent="0.25">
      <c r="D246" s="166"/>
      <c r="E246" s="166"/>
    </row>
    <row r="247" spans="4:5" s="2" customFormat="1" x14ac:dyDescent="0.25">
      <c r="D247" s="166"/>
      <c r="E247" s="166"/>
    </row>
    <row r="248" spans="4:5" s="2" customFormat="1" x14ac:dyDescent="0.25">
      <c r="D248" s="166"/>
      <c r="E248" s="166"/>
    </row>
    <row r="249" spans="4:5" s="2" customFormat="1" x14ac:dyDescent="0.25">
      <c r="D249" s="166"/>
      <c r="E249" s="166"/>
    </row>
    <row r="250" spans="4:5" s="2" customFormat="1" x14ac:dyDescent="0.25">
      <c r="D250" s="166"/>
      <c r="E250" s="166"/>
    </row>
    <row r="251" spans="4:5" s="2" customFormat="1" x14ac:dyDescent="0.25">
      <c r="D251" s="166"/>
      <c r="E251" s="166"/>
    </row>
    <row r="252" spans="4:5" s="2" customFormat="1" x14ac:dyDescent="0.25">
      <c r="D252" s="166"/>
      <c r="E252" s="166"/>
    </row>
    <row r="253" spans="4:5" s="2" customFormat="1" x14ac:dyDescent="0.25">
      <c r="D253" s="166"/>
      <c r="E253" s="166"/>
    </row>
    <row r="254" spans="4:5" s="2" customFormat="1" x14ac:dyDescent="0.25">
      <c r="D254" s="166"/>
      <c r="E254" s="166"/>
    </row>
    <row r="255" spans="4:5" s="2" customFormat="1" x14ac:dyDescent="0.25">
      <c r="D255" s="166"/>
      <c r="E255" s="166"/>
    </row>
    <row r="256" spans="4:5" s="2" customFormat="1" x14ac:dyDescent="0.25">
      <c r="D256" s="166"/>
      <c r="E256" s="166"/>
    </row>
    <row r="257" spans="4:5" s="2" customFormat="1" x14ac:dyDescent="0.25">
      <c r="D257" s="166"/>
      <c r="E257" s="166"/>
    </row>
    <row r="258" spans="4:5" s="2" customFormat="1" x14ac:dyDescent="0.25">
      <c r="D258" s="166"/>
      <c r="E258" s="166"/>
    </row>
    <row r="259" spans="4:5" s="2" customFormat="1" x14ac:dyDescent="0.25">
      <c r="D259" s="166"/>
      <c r="E259" s="166"/>
    </row>
    <row r="260" spans="4:5" s="2" customFormat="1" x14ac:dyDescent="0.25">
      <c r="D260" s="166"/>
      <c r="E260" s="166"/>
    </row>
    <row r="261" spans="4:5" s="2" customFormat="1" x14ac:dyDescent="0.25">
      <c r="D261" s="166"/>
      <c r="E261" s="166"/>
    </row>
    <row r="262" spans="4:5" s="2" customFormat="1" x14ac:dyDescent="0.25">
      <c r="D262" s="166"/>
      <c r="E262" s="166"/>
    </row>
    <row r="263" spans="4:5" s="2" customFormat="1" x14ac:dyDescent="0.25">
      <c r="D263" s="166"/>
      <c r="E263" s="166"/>
    </row>
    <row r="264" spans="4:5" s="2" customFormat="1" x14ac:dyDescent="0.25">
      <c r="D264" s="166"/>
      <c r="E264" s="166"/>
    </row>
    <row r="265" spans="4:5" s="2" customFormat="1" x14ac:dyDescent="0.25">
      <c r="D265" s="166"/>
      <c r="E265" s="166"/>
    </row>
    <row r="266" spans="4:5" s="2" customFormat="1" x14ac:dyDescent="0.25">
      <c r="D266" s="166"/>
      <c r="E266" s="166"/>
    </row>
    <row r="267" spans="4:5" s="2" customFormat="1" x14ac:dyDescent="0.25">
      <c r="D267" s="166"/>
      <c r="E267" s="166"/>
    </row>
    <row r="268" spans="4:5" s="2" customFormat="1" x14ac:dyDescent="0.25">
      <c r="D268" s="166"/>
      <c r="E268" s="166"/>
    </row>
    <row r="269" spans="4:5" s="2" customFormat="1" x14ac:dyDescent="0.25">
      <c r="D269" s="166"/>
      <c r="E269" s="166"/>
    </row>
    <row r="270" spans="4:5" s="2" customFormat="1" x14ac:dyDescent="0.25">
      <c r="D270" s="166"/>
      <c r="E270" s="166"/>
    </row>
    <row r="271" spans="4:5" s="2" customFormat="1" x14ac:dyDescent="0.25">
      <c r="D271" s="166"/>
      <c r="E271" s="166"/>
    </row>
    <row r="272" spans="4:5" s="2" customFormat="1" x14ac:dyDescent="0.25">
      <c r="D272" s="166"/>
      <c r="E272" s="166"/>
    </row>
    <row r="273" spans="4:5" s="2" customFormat="1" x14ac:dyDescent="0.25">
      <c r="D273" s="166"/>
      <c r="E273" s="166"/>
    </row>
    <row r="274" spans="4:5" s="2" customFormat="1" x14ac:dyDescent="0.25">
      <c r="D274" s="166"/>
      <c r="E274" s="166"/>
    </row>
    <row r="275" spans="4:5" s="2" customFormat="1" x14ac:dyDescent="0.25">
      <c r="D275" s="166"/>
      <c r="E275" s="166"/>
    </row>
    <row r="276" spans="4:5" s="2" customFormat="1" x14ac:dyDescent="0.25">
      <c r="D276" s="166"/>
      <c r="E276" s="166"/>
    </row>
    <row r="277" spans="4:5" s="2" customFormat="1" x14ac:dyDescent="0.25">
      <c r="D277" s="166"/>
      <c r="E277" s="166"/>
    </row>
    <row r="278" spans="4:5" s="2" customFormat="1" x14ac:dyDescent="0.25">
      <c r="D278" s="166"/>
      <c r="E278" s="166"/>
    </row>
    <row r="279" spans="4:5" s="2" customFormat="1" x14ac:dyDescent="0.25">
      <c r="D279" s="166"/>
      <c r="E279" s="166"/>
    </row>
    <row r="280" spans="4:5" s="2" customFormat="1" x14ac:dyDescent="0.25">
      <c r="D280" s="166"/>
      <c r="E280" s="166"/>
    </row>
    <row r="281" spans="4:5" s="2" customFormat="1" x14ac:dyDescent="0.25">
      <c r="D281" s="166"/>
      <c r="E281" s="166"/>
    </row>
    <row r="282" spans="4:5" s="2" customFormat="1" x14ac:dyDescent="0.25">
      <c r="D282" s="166"/>
      <c r="E282" s="166"/>
    </row>
    <row r="283" spans="4:5" s="2" customFormat="1" x14ac:dyDescent="0.25">
      <c r="D283" s="166"/>
      <c r="E283" s="166"/>
    </row>
    <row r="284" spans="4:5" s="2" customFormat="1" x14ac:dyDescent="0.25">
      <c r="D284" s="166"/>
      <c r="E284" s="166"/>
    </row>
    <row r="285" spans="4:5" s="2" customFormat="1" x14ac:dyDescent="0.25">
      <c r="D285" s="166"/>
      <c r="E285" s="166"/>
    </row>
    <row r="286" spans="4:5" s="2" customFormat="1" x14ac:dyDescent="0.25">
      <c r="D286" s="166"/>
      <c r="E286" s="166"/>
    </row>
    <row r="287" spans="4:5" s="2" customFormat="1" x14ac:dyDescent="0.25">
      <c r="D287" s="166"/>
      <c r="E287" s="166"/>
    </row>
    <row r="288" spans="4:5" s="2" customFormat="1" x14ac:dyDescent="0.25">
      <c r="D288" s="166"/>
      <c r="E288" s="166"/>
    </row>
    <row r="289" spans="4:5" s="2" customFormat="1" x14ac:dyDescent="0.25">
      <c r="D289" s="166"/>
      <c r="E289" s="166"/>
    </row>
    <row r="290" spans="4:5" s="2" customFormat="1" x14ac:dyDescent="0.25">
      <c r="D290" s="166"/>
      <c r="E290" s="166"/>
    </row>
    <row r="291" spans="4:5" s="2" customFormat="1" x14ac:dyDescent="0.25">
      <c r="D291" s="166"/>
      <c r="E291" s="166"/>
    </row>
    <row r="292" spans="4:5" s="2" customFormat="1" x14ac:dyDescent="0.25">
      <c r="D292" s="166"/>
      <c r="E292" s="166"/>
    </row>
    <row r="293" spans="4:5" s="2" customFormat="1" x14ac:dyDescent="0.25">
      <c r="D293" s="166"/>
      <c r="E293" s="166"/>
    </row>
    <row r="294" spans="4:5" s="2" customFormat="1" x14ac:dyDescent="0.25">
      <c r="D294" s="166"/>
      <c r="E294" s="166"/>
    </row>
    <row r="295" spans="4:5" s="2" customFormat="1" x14ac:dyDescent="0.25">
      <c r="D295" s="166"/>
      <c r="E295" s="166"/>
    </row>
    <row r="296" spans="4:5" s="2" customFormat="1" x14ac:dyDescent="0.25">
      <c r="D296" s="166"/>
      <c r="E296" s="166"/>
    </row>
    <row r="297" spans="4:5" s="2" customFormat="1" x14ac:dyDescent="0.25">
      <c r="D297" s="166"/>
      <c r="E297" s="166"/>
    </row>
    <row r="298" spans="4:5" s="2" customFormat="1" x14ac:dyDescent="0.25">
      <c r="D298" s="166"/>
      <c r="E298" s="166"/>
    </row>
    <row r="299" spans="4:5" s="2" customFormat="1" x14ac:dyDescent="0.25">
      <c r="D299" s="166"/>
      <c r="E299" s="166"/>
    </row>
    <row r="300" spans="4:5" s="2" customFormat="1" x14ac:dyDescent="0.25">
      <c r="D300" s="166"/>
      <c r="E300" s="166"/>
    </row>
    <row r="301" spans="4:5" s="2" customFormat="1" x14ac:dyDescent="0.25">
      <c r="D301" s="166"/>
      <c r="E301" s="166"/>
    </row>
    <row r="302" spans="4:5" s="2" customFormat="1" x14ac:dyDescent="0.25">
      <c r="D302" s="166"/>
      <c r="E302" s="166"/>
    </row>
    <row r="303" spans="4:5" s="2" customFormat="1" x14ac:dyDescent="0.25">
      <c r="D303" s="166"/>
      <c r="E303" s="166"/>
    </row>
    <row r="304" spans="4:5" s="2" customFormat="1" x14ac:dyDescent="0.25">
      <c r="D304" s="166"/>
      <c r="E304" s="166"/>
    </row>
    <row r="305" spans="4:5" s="2" customFormat="1" x14ac:dyDescent="0.25">
      <c r="D305" s="166"/>
      <c r="E305" s="166"/>
    </row>
    <row r="306" spans="4:5" s="2" customFormat="1" x14ac:dyDescent="0.25">
      <c r="D306" s="166"/>
      <c r="E306" s="166"/>
    </row>
    <row r="307" spans="4:5" s="2" customFormat="1" x14ac:dyDescent="0.25">
      <c r="D307" s="166"/>
      <c r="E307" s="166"/>
    </row>
    <row r="308" spans="4:5" s="2" customFormat="1" x14ac:dyDescent="0.25">
      <c r="D308" s="166"/>
      <c r="E308" s="166"/>
    </row>
    <row r="309" spans="4:5" s="2" customFormat="1" x14ac:dyDescent="0.25">
      <c r="D309" s="166"/>
      <c r="E309" s="166"/>
    </row>
    <row r="310" spans="4:5" s="2" customFormat="1" x14ac:dyDescent="0.25">
      <c r="D310" s="166"/>
      <c r="E310" s="166"/>
    </row>
    <row r="311" spans="4:5" s="2" customFormat="1" x14ac:dyDescent="0.25">
      <c r="D311" s="166"/>
      <c r="E311" s="166"/>
    </row>
    <row r="312" spans="4:5" s="2" customFormat="1" x14ac:dyDescent="0.25">
      <c r="D312" s="166"/>
      <c r="E312" s="166"/>
    </row>
    <row r="313" spans="4:5" s="2" customFormat="1" x14ac:dyDescent="0.25">
      <c r="D313" s="166"/>
      <c r="E313" s="166"/>
    </row>
    <row r="314" spans="4:5" s="2" customFormat="1" x14ac:dyDescent="0.25">
      <c r="D314" s="166"/>
      <c r="E314" s="166"/>
    </row>
    <row r="315" spans="4:5" s="2" customFormat="1" x14ac:dyDescent="0.25">
      <c r="D315" s="166"/>
      <c r="E315" s="166"/>
    </row>
    <row r="316" spans="4:5" s="2" customFormat="1" x14ac:dyDescent="0.25">
      <c r="D316" s="166"/>
      <c r="E316" s="166"/>
    </row>
    <row r="317" spans="4:5" s="2" customFormat="1" x14ac:dyDescent="0.25">
      <c r="D317" s="166"/>
      <c r="E317" s="166"/>
    </row>
    <row r="318" spans="4:5" s="2" customFormat="1" x14ac:dyDescent="0.25">
      <c r="D318" s="166"/>
      <c r="E318" s="166"/>
    </row>
    <row r="319" spans="4:5" s="2" customFormat="1" x14ac:dyDescent="0.25">
      <c r="D319" s="166"/>
      <c r="E319" s="166"/>
    </row>
    <row r="320" spans="4:5" s="2" customFormat="1" x14ac:dyDescent="0.25">
      <c r="D320" s="166"/>
      <c r="E320" s="166"/>
    </row>
    <row r="321" spans="4:5" s="2" customFormat="1" x14ac:dyDescent="0.25">
      <c r="D321" s="166"/>
      <c r="E321" s="166"/>
    </row>
    <row r="322" spans="4:5" s="2" customFormat="1" x14ac:dyDescent="0.25">
      <c r="D322" s="166"/>
      <c r="E322" s="166"/>
    </row>
    <row r="323" spans="4:5" s="2" customFormat="1" x14ac:dyDescent="0.25">
      <c r="D323" s="166"/>
      <c r="E323" s="166"/>
    </row>
    <row r="324" spans="4:5" s="2" customFormat="1" x14ac:dyDescent="0.25">
      <c r="D324" s="166"/>
      <c r="E324" s="166"/>
    </row>
    <row r="325" spans="4:5" s="2" customFormat="1" x14ac:dyDescent="0.25">
      <c r="D325" s="166"/>
      <c r="E325" s="166"/>
    </row>
    <row r="326" spans="4:5" s="2" customFormat="1" x14ac:dyDescent="0.25">
      <c r="D326" s="166"/>
      <c r="E326" s="166"/>
    </row>
    <row r="327" spans="4:5" s="2" customFormat="1" x14ac:dyDescent="0.25">
      <c r="D327" s="166"/>
      <c r="E327" s="166"/>
    </row>
    <row r="328" spans="4:5" s="2" customFormat="1" x14ac:dyDescent="0.25">
      <c r="D328" s="166"/>
      <c r="E328" s="166"/>
    </row>
    <row r="329" spans="4:5" s="2" customFormat="1" x14ac:dyDescent="0.25">
      <c r="D329" s="166"/>
      <c r="E329" s="166"/>
    </row>
    <row r="330" spans="4:5" s="2" customFormat="1" x14ac:dyDescent="0.25">
      <c r="D330" s="166"/>
      <c r="E330" s="166"/>
    </row>
    <row r="331" spans="4:5" s="2" customFormat="1" x14ac:dyDescent="0.25">
      <c r="D331" s="166"/>
      <c r="E331" s="166"/>
    </row>
    <row r="332" spans="4:5" s="2" customFormat="1" x14ac:dyDescent="0.25">
      <c r="D332" s="166"/>
      <c r="E332" s="166"/>
    </row>
    <row r="333" spans="4:5" s="2" customFormat="1" x14ac:dyDescent="0.25">
      <c r="D333" s="166"/>
      <c r="E333" s="166"/>
    </row>
    <row r="334" spans="4:5" s="2" customFormat="1" x14ac:dyDescent="0.25">
      <c r="D334" s="166"/>
      <c r="E334" s="166"/>
    </row>
    <row r="335" spans="4:5" s="2" customFormat="1" x14ac:dyDescent="0.25">
      <c r="D335" s="166"/>
      <c r="E335" s="166"/>
    </row>
    <row r="336" spans="4:5" s="2" customFormat="1" x14ac:dyDescent="0.25">
      <c r="D336" s="166"/>
      <c r="E336" s="166"/>
    </row>
    <row r="337" spans="4:5" s="2" customFormat="1" x14ac:dyDescent="0.25">
      <c r="D337" s="166"/>
      <c r="E337" s="166"/>
    </row>
    <row r="338" spans="4:5" s="2" customFormat="1" x14ac:dyDescent="0.25">
      <c r="D338" s="166"/>
      <c r="E338" s="166"/>
    </row>
    <row r="339" spans="4:5" s="2" customFormat="1" x14ac:dyDescent="0.25">
      <c r="D339" s="166"/>
      <c r="E339" s="166"/>
    </row>
    <row r="340" spans="4:5" s="2" customFormat="1" x14ac:dyDescent="0.25">
      <c r="D340" s="166"/>
      <c r="E340" s="166"/>
    </row>
    <row r="341" spans="4:5" s="2" customFormat="1" x14ac:dyDescent="0.25">
      <c r="D341" s="166"/>
      <c r="E341" s="166"/>
    </row>
    <row r="342" spans="4:5" s="2" customFormat="1" x14ac:dyDescent="0.25">
      <c r="D342" s="166"/>
      <c r="E342" s="166"/>
    </row>
    <row r="343" spans="4:5" s="2" customFormat="1" x14ac:dyDescent="0.25">
      <c r="D343" s="166"/>
      <c r="E343" s="166"/>
    </row>
    <row r="344" spans="4:5" s="2" customFormat="1" x14ac:dyDescent="0.25">
      <c r="D344" s="166"/>
      <c r="E344" s="166"/>
    </row>
    <row r="345" spans="4:5" s="2" customFormat="1" x14ac:dyDescent="0.25">
      <c r="D345" s="166"/>
      <c r="E345" s="166"/>
    </row>
    <row r="346" spans="4:5" s="2" customFormat="1" x14ac:dyDescent="0.25">
      <c r="D346" s="166"/>
      <c r="E346" s="166"/>
    </row>
    <row r="347" spans="4:5" s="2" customFormat="1" x14ac:dyDescent="0.25">
      <c r="D347" s="166"/>
      <c r="E347" s="166"/>
    </row>
    <row r="348" spans="4:5" s="2" customFormat="1" x14ac:dyDescent="0.25">
      <c r="D348" s="166"/>
      <c r="E348" s="166"/>
    </row>
    <row r="349" spans="4:5" s="2" customFormat="1" x14ac:dyDescent="0.25">
      <c r="D349" s="166"/>
      <c r="E349" s="166"/>
    </row>
    <row r="350" spans="4:5" s="2" customFormat="1" x14ac:dyDescent="0.25">
      <c r="D350" s="166"/>
      <c r="E350" s="166"/>
    </row>
    <row r="351" spans="4:5" s="2" customFormat="1" x14ac:dyDescent="0.25">
      <c r="D351" s="166"/>
      <c r="E351" s="166"/>
    </row>
    <row r="352" spans="4:5" s="2" customFormat="1" x14ac:dyDescent="0.25">
      <c r="D352" s="166"/>
      <c r="E352" s="166"/>
    </row>
    <row r="353" spans="4:5" s="2" customFormat="1" x14ac:dyDescent="0.25">
      <c r="D353" s="166"/>
      <c r="E353" s="166"/>
    </row>
    <row r="354" spans="4:5" s="2" customFormat="1" x14ac:dyDescent="0.25">
      <c r="D354" s="166"/>
      <c r="E354" s="166"/>
    </row>
    <row r="355" spans="4:5" s="2" customFormat="1" x14ac:dyDescent="0.25">
      <c r="D355" s="166"/>
      <c r="E355" s="166"/>
    </row>
    <row r="356" spans="4:5" s="2" customFormat="1" x14ac:dyDescent="0.25">
      <c r="D356" s="166"/>
      <c r="E356" s="166"/>
    </row>
    <row r="357" spans="4:5" s="2" customFormat="1" x14ac:dyDescent="0.25">
      <c r="D357" s="166"/>
      <c r="E357" s="166"/>
    </row>
    <row r="358" spans="4:5" s="2" customFormat="1" x14ac:dyDescent="0.25">
      <c r="D358" s="166"/>
      <c r="E358" s="166"/>
    </row>
    <row r="359" spans="4:5" s="2" customFormat="1" x14ac:dyDescent="0.25">
      <c r="D359" s="166"/>
      <c r="E359" s="166"/>
    </row>
    <row r="360" spans="4:5" s="2" customFormat="1" x14ac:dyDescent="0.25">
      <c r="D360" s="166"/>
      <c r="E360" s="166"/>
    </row>
    <row r="361" spans="4:5" s="2" customFormat="1" x14ac:dyDescent="0.25">
      <c r="D361" s="166"/>
      <c r="E361" s="166"/>
    </row>
    <row r="362" spans="4:5" s="2" customFormat="1" x14ac:dyDescent="0.25">
      <c r="D362" s="166"/>
      <c r="E362" s="166"/>
    </row>
    <row r="363" spans="4:5" s="2" customFormat="1" x14ac:dyDescent="0.25">
      <c r="D363" s="166"/>
      <c r="E363" s="166"/>
    </row>
    <row r="364" spans="4:5" s="2" customFormat="1" x14ac:dyDescent="0.25">
      <c r="D364" s="166"/>
      <c r="E364" s="166"/>
    </row>
    <row r="365" spans="4:5" s="2" customFormat="1" x14ac:dyDescent="0.25">
      <c r="D365" s="166"/>
      <c r="E365" s="166"/>
    </row>
    <row r="366" spans="4:5" s="2" customFormat="1" x14ac:dyDescent="0.25">
      <c r="D366" s="166"/>
      <c r="E366" s="166"/>
    </row>
    <row r="367" spans="4:5" s="2" customFormat="1" x14ac:dyDescent="0.25">
      <c r="D367" s="166"/>
      <c r="E367" s="166"/>
    </row>
    <row r="368" spans="4:5" s="2" customFormat="1" x14ac:dyDescent="0.25">
      <c r="D368" s="166"/>
      <c r="E368" s="166"/>
    </row>
    <row r="369" spans="4:5" s="2" customFormat="1" x14ac:dyDescent="0.25">
      <c r="D369" s="166"/>
      <c r="E369" s="166"/>
    </row>
    <row r="370" spans="4:5" s="2" customFormat="1" x14ac:dyDescent="0.25">
      <c r="D370" s="166"/>
      <c r="E370" s="166"/>
    </row>
    <row r="371" spans="4:5" s="2" customFormat="1" x14ac:dyDescent="0.25">
      <c r="D371" s="166"/>
      <c r="E371" s="166"/>
    </row>
    <row r="372" spans="4:5" s="2" customFormat="1" x14ac:dyDescent="0.25">
      <c r="D372" s="166"/>
      <c r="E372" s="166"/>
    </row>
    <row r="373" spans="4:5" s="2" customFormat="1" x14ac:dyDescent="0.25">
      <c r="D373" s="166"/>
      <c r="E373" s="166"/>
    </row>
    <row r="374" spans="4:5" s="2" customFormat="1" x14ac:dyDescent="0.25">
      <c r="D374" s="166"/>
      <c r="E374" s="166"/>
    </row>
    <row r="375" spans="4:5" s="2" customFormat="1" x14ac:dyDescent="0.25">
      <c r="D375" s="166"/>
      <c r="E375" s="166"/>
    </row>
    <row r="376" spans="4:5" s="2" customFormat="1" x14ac:dyDescent="0.25">
      <c r="D376" s="166"/>
      <c r="E376" s="166"/>
    </row>
    <row r="377" spans="4:5" s="2" customFormat="1" x14ac:dyDescent="0.25">
      <c r="D377" s="166"/>
      <c r="E377" s="166"/>
    </row>
    <row r="378" spans="4:5" s="2" customFormat="1" x14ac:dyDescent="0.25">
      <c r="D378" s="166"/>
      <c r="E378" s="166"/>
    </row>
    <row r="379" spans="4:5" s="2" customFormat="1" x14ac:dyDescent="0.25">
      <c r="D379" s="166"/>
      <c r="E379" s="166"/>
    </row>
    <row r="380" spans="4:5" s="2" customFormat="1" x14ac:dyDescent="0.25">
      <c r="D380" s="166"/>
      <c r="E380" s="166"/>
    </row>
    <row r="381" spans="4:5" s="2" customFormat="1" x14ac:dyDescent="0.25">
      <c r="D381" s="166"/>
      <c r="E381" s="166"/>
    </row>
    <row r="382" spans="4:5" s="2" customFormat="1" x14ac:dyDescent="0.25">
      <c r="D382" s="166"/>
      <c r="E382" s="166"/>
    </row>
    <row r="383" spans="4:5" s="2" customFormat="1" x14ac:dyDescent="0.25">
      <c r="D383" s="166"/>
      <c r="E383" s="166"/>
    </row>
    <row r="384" spans="4:5" s="2" customFormat="1" x14ac:dyDescent="0.25">
      <c r="D384" s="166"/>
      <c r="E384" s="166"/>
    </row>
    <row r="385" spans="4:5" s="2" customFormat="1" x14ac:dyDescent="0.25">
      <c r="D385" s="166"/>
      <c r="E385" s="166"/>
    </row>
    <row r="386" spans="4:5" s="2" customFormat="1" x14ac:dyDescent="0.25">
      <c r="D386" s="166"/>
      <c r="E386" s="166"/>
    </row>
    <row r="387" spans="4:5" s="2" customFormat="1" x14ac:dyDescent="0.25">
      <c r="D387" s="166"/>
      <c r="E387" s="166"/>
    </row>
    <row r="388" spans="4:5" s="2" customFormat="1" x14ac:dyDescent="0.25">
      <c r="D388" s="166"/>
      <c r="E388" s="166"/>
    </row>
    <row r="389" spans="4:5" s="2" customFormat="1" x14ac:dyDescent="0.25">
      <c r="D389" s="166"/>
      <c r="E389" s="166"/>
    </row>
    <row r="390" spans="4:5" s="2" customFormat="1" x14ac:dyDescent="0.25">
      <c r="D390" s="166"/>
      <c r="E390" s="166"/>
    </row>
    <row r="391" spans="4:5" s="2" customFormat="1" x14ac:dyDescent="0.25">
      <c r="D391" s="166"/>
      <c r="E391" s="166"/>
    </row>
    <row r="392" spans="4:5" s="2" customFormat="1" x14ac:dyDescent="0.25">
      <c r="D392" s="166"/>
      <c r="E392" s="166"/>
    </row>
    <row r="393" spans="4:5" s="2" customFormat="1" x14ac:dyDescent="0.25">
      <c r="D393" s="166"/>
      <c r="E393" s="166"/>
    </row>
    <row r="394" spans="4:5" s="2" customFormat="1" x14ac:dyDescent="0.25">
      <c r="D394" s="166"/>
      <c r="E394" s="166"/>
    </row>
    <row r="395" spans="4:5" s="2" customFormat="1" x14ac:dyDescent="0.25">
      <c r="D395" s="166"/>
      <c r="E395" s="166"/>
    </row>
    <row r="396" spans="4:5" s="2" customFormat="1" x14ac:dyDescent="0.25">
      <c r="D396" s="166"/>
      <c r="E396" s="166"/>
    </row>
    <row r="397" spans="4:5" s="2" customFormat="1" x14ac:dyDescent="0.25">
      <c r="D397" s="166"/>
      <c r="E397" s="166"/>
    </row>
    <row r="398" spans="4:5" s="2" customFormat="1" x14ac:dyDescent="0.25">
      <c r="D398" s="166"/>
      <c r="E398" s="166"/>
    </row>
    <row r="399" spans="4:5" s="2" customFormat="1" x14ac:dyDescent="0.25">
      <c r="D399" s="166"/>
      <c r="E399" s="166"/>
    </row>
    <row r="400" spans="4:5" s="2" customFormat="1" x14ac:dyDescent="0.25">
      <c r="D400" s="166"/>
      <c r="E400" s="166"/>
    </row>
    <row r="401" spans="4:5" s="2" customFormat="1" x14ac:dyDescent="0.25">
      <c r="D401" s="166"/>
      <c r="E401" s="166"/>
    </row>
    <row r="402" spans="4:5" s="2" customFormat="1" x14ac:dyDescent="0.25">
      <c r="D402" s="166"/>
      <c r="E402" s="166"/>
    </row>
    <row r="403" spans="4:5" s="2" customFormat="1" x14ac:dyDescent="0.25">
      <c r="D403" s="166"/>
      <c r="E403" s="166"/>
    </row>
    <row r="404" spans="4:5" s="2" customFormat="1" x14ac:dyDescent="0.25">
      <c r="D404" s="166"/>
      <c r="E404" s="166"/>
    </row>
    <row r="405" spans="4:5" s="2" customFormat="1" x14ac:dyDescent="0.25">
      <c r="D405" s="166"/>
      <c r="E405" s="166"/>
    </row>
    <row r="406" spans="4:5" s="2" customFormat="1" x14ac:dyDescent="0.25">
      <c r="D406" s="166"/>
      <c r="E406" s="166"/>
    </row>
    <row r="407" spans="4:5" s="2" customFormat="1" x14ac:dyDescent="0.25">
      <c r="D407" s="166"/>
      <c r="E407" s="166"/>
    </row>
    <row r="408" spans="4:5" s="2" customFormat="1" x14ac:dyDescent="0.25">
      <c r="D408" s="166"/>
      <c r="E408" s="166"/>
    </row>
    <row r="409" spans="4:5" s="2" customFormat="1" x14ac:dyDescent="0.25">
      <c r="D409" s="166"/>
      <c r="E409" s="166"/>
    </row>
    <row r="410" spans="4:5" s="2" customFormat="1" x14ac:dyDescent="0.25">
      <c r="D410" s="166"/>
      <c r="E410" s="166"/>
    </row>
    <row r="411" spans="4:5" s="2" customFormat="1" x14ac:dyDescent="0.25">
      <c r="D411" s="166"/>
      <c r="E411" s="166"/>
    </row>
    <row r="412" spans="4:5" s="2" customFormat="1" x14ac:dyDescent="0.25">
      <c r="D412" s="166"/>
      <c r="E412" s="166"/>
    </row>
    <row r="413" spans="4:5" s="2" customFormat="1" x14ac:dyDescent="0.25">
      <c r="D413" s="166"/>
      <c r="E413" s="166"/>
    </row>
    <row r="414" spans="4:5" s="2" customFormat="1" x14ac:dyDescent="0.25">
      <c r="D414" s="166"/>
      <c r="E414" s="166"/>
    </row>
    <row r="415" spans="4:5" s="2" customFormat="1" x14ac:dyDescent="0.25">
      <c r="D415" s="166"/>
      <c r="E415" s="166"/>
    </row>
    <row r="416" spans="4:5" s="2" customFormat="1" x14ac:dyDescent="0.25">
      <c r="D416" s="166"/>
      <c r="E416" s="166"/>
    </row>
    <row r="417" spans="4:5" s="2" customFormat="1" x14ac:dyDescent="0.25">
      <c r="D417" s="166"/>
      <c r="E417" s="166"/>
    </row>
    <row r="418" spans="4:5" s="2" customFormat="1" x14ac:dyDescent="0.25">
      <c r="D418" s="166"/>
      <c r="E418" s="166"/>
    </row>
    <row r="419" spans="4:5" s="2" customFormat="1" x14ac:dyDescent="0.25">
      <c r="D419" s="166"/>
      <c r="E419" s="166"/>
    </row>
    <row r="420" spans="4:5" s="2" customFormat="1" x14ac:dyDescent="0.25">
      <c r="D420" s="166"/>
      <c r="E420" s="166"/>
    </row>
    <row r="421" spans="4:5" s="2" customFormat="1" x14ac:dyDescent="0.25">
      <c r="D421" s="166"/>
      <c r="E421" s="166"/>
    </row>
    <row r="422" spans="4:5" s="2" customFormat="1" x14ac:dyDescent="0.25">
      <c r="D422" s="166"/>
      <c r="E422" s="166"/>
    </row>
    <row r="423" spans="4:5" s="2" customFormat="1" x14ac:dyDescent="0.25">
      <c r="D423" s="166"/>
      <c r="E423" s="166"/>
    </row>
    <row r="424" spans="4:5" s="2" customFormat="1" x14ac:dyDescent="0.25">
      <c r="D424" s="166"/>
      <c r="E424" s="166"/>
    </row>
    <row r="425" spans="4:5" s="2" customFormat="1" x14ac:dyDescent="0.25">
      <c r="D425" s="166"/>
      <c r="E425" s="166"/>
    </row>
    <row r="426" spans="4:5" s="2" customFormat="1" x14ac:dyDescent="0.25">
      <c r="D426" s="166"/>
      <c r="E426" s="166"/>
    </row>
    <row r="427" spans="4:5" s="2" customFormat="1" x14ac:dyDescent="0.25">
      <c r="D427" s="166"/>
      <c r="E427" s="166"/>
    </row>
    <row r="428" spans="4:5" s="2" customFormat="1" x14ac:dyDescent="0.25">
      <c r="D428" s="166"/>
      <c r="E428" s="166"/>
    </row>
    <row r="429" spans="4:5" s="2" customFormat="1" x14ac:dyDescent="0.25">
      <c r="D429" s="166"/>
      <c r="E429" s="166"/>
    </row>
    <row r="430" spans="4:5" s="2" customFormat="1" x14ac:dyDescent="0.25">
      <c r="D430" s="166"/>
      <c r="E430" s="166"/>
    </row>
    <row r="431" spans="4:5" s="2" customFormat="1" x14ac:dyDescent="0.25">
      <c r="D431" s="166"/>
      <c r="E431" s="166"/>
    </row>
    <row r="432" spans="4:5" s="2" customFormat="1" x14ac:dyDescent="0.25">
      <c r="D432" s="166"/>
      <c r="E432" s="166"/>
    </row>
    <row r="433" spans="4:5" s="2" customFormat="1" x14ac:dyDescent="0.25">
      <c r="D433" s="166"/>
      <c r="E433" s="166"/>
    </row>
    <row r="434" spans="4:5" s="2" customFormat="1" x14ac:dyDescent="0.25">
      <c r="D434" s="166"/>
      <c r="E434" s="166"/>
    </row>
    <row r="435" spans="4:5" s="2" customFormat="1" x14ac:dyDescent="0.25">
      <c r="D435" s="166"/>
      <c r="E435" s="166"/>
    </row>
    <row r="436" spans="4:5" s="2" customFormat="1" x14ac:dyDescent="0.25">
      <c r="D436" s="166"/>
      <c r="E436" s="166"/>
    </row>
    <row r="437" spans="4:5" s="2" customFormat="1" x14ac:dyDescent="0.25">
      <c r="D437" s="166"/>
      <c r="E437" s="166"/>
    </row>
    <row r="438" spans="4:5" s="2" customFormat="1" x14ac:dyDescent="0.25">
      <c r="D438" s="166"/>
      <c r="E438" s="166"/>
    </row>
    <row r="439" spans="4:5" s="2" customFormat="1" x14ac:dyDescent="0.25">
      <c r="D439" s="166"/>
      <c r="E439" s="166"/>
    </row>
    <row r="440" spans="4:5" s="2" customFormat="1" x14ac:dyDescent="0.25">
      <c r="D440" s="166"/>
      <c r="E440" s="166"/>
    </row>
    <row r="441" spans="4:5" s="2" customFormat="1" x14ac:dyDescent="0.25">
      <c r="D441" s="166"/>
      <c r="E441" s="166"/>
    </row>
    <row r="442" spans="4:5" s="2" customFormat="1" x14ac:dyDescent="0.25">
      <c r="D442" s="166"/>
      <c r="E442" s="166"/>
    </row>
    <row r="443" spans="4:5" s="2" customFormat="1" x14ac:dyDescent="0.25">
      <c r="D443" s="166"/>
      <c r="E443" s="166"/>
    </row>
    <row r="444" spans="4:5" s="2" customFormat="1" x14ac:dyDescent="0.25">
      <c r="D444" s="166"/>
      <c r="E444" s="166"/>
    </row>
    <row r="445" spans="4:5" s="2" customFormat="1" x14ac:dyDescent="0.25">
      <c r="D445" s="166"/>
      <c r="E445" s="166"/>
    </row>
    <row r="446" spans="4:5" s="2" customFormat="1" x14ac:dyDescent="0.25">
      <c r="D446" s="166"/>
      <c r="E446" s="166"/>
    </row>
    <row r="447" spans="4:5" s="2" customFormat="1" x14ac:dyDescent="0.25">
      <c r="D447" s="166"/>
      <c r="E447" s="166"/>
    </row>
    <row r="448" spans="4:5" s="2" customFormat="1" x14ac:dyDescent="0.25">
      <c r="D448" s="166"/>
      <c r="E448" s="166"/>
    </row>
    <row r="449" spans="4:5" s="2" customFormat="1" x14ac:dyDescent="0.25">
      <c r="D449" s="166"/>
      <c r="E449" s="166"/>
    </row>
    <row r="450" spans="4:5" s="2" customFormat="1" x14ac:dyDescent="0.25">
      <c r="D450" s="166"/>
      <c r="E450" s="166"/>
    </row>
    <row r="451" spans="4:5" s="2" customFormat="1" x14ac:dyDescent="0.25">
      <c r="D451" s="166"/>
      <c r="E451" s="166"/>
    </row>
    <row r="452" spans="4:5" s="2" customFormat="1" x14ac:dyDescent="0.25">
      <c r="D452" s="166"/>
      <c r="E452" s="166"/>
    </row>
    <row r="453" spans="4:5" s="2" customFormat="1" x14ac:dyDescent="0.25">
      <c r="D453" s="166"/>
      <c r="E453" s="166"/>
    </row>
    <row r="454" spans="4:5" s="2" customFormat="1" x14ac:dyDescent="0.25">
      <c r="D454" s="166"/>
      <c r="E454" s="166"/>
    </row>
    <row r="455" spans="4:5" s="2" customFormat="1" x14ac:dyDescent="0.25">
      <c r="D455" s="166"/>
      <c r="E455" s="166"/>
    </row>
    <row r="456" spans="4:5" s="2" customFormat="1" x14ac:dyDescent="0.25">
      <c r="D456" s="166"/>
      <c r="E456" s="166"/>
    </row>
    <row r="457" spans="4:5" s="2" customFormat="1" x14ac:dyDescent="0.25">
      <c r="D457" s="166"/>
      <c r="E457" s="166"/>
    </row>
    <row r="458" spans="4:5" s="2" customFormat="1" x14ac:dyDescent="0.25">
      <c r="D458" s="166"/>
      <c r="E458" s="166"/>
    </row>
    <row r="459" spans="4:5" s="2" customFormat="1" x14ac:dyDescent="0.25">
      <c r="D459" s="166"/>
      <c r="E459" s="166"/>
    </row>
    <row r="460" spans="4:5" s="2" customFormat="1" x14ac:dyDescent="0.25">
      <c r="D460" s="166"/>
      <c r="E460" s="166"/>
    </row>
    <row r="461" spans="4:5" s="2" customFormat="1" x14ac:dyDescent="0.25">
      <c r="D461" s="166"/>
      <c r="E461" s="166"/>
    </row>
    <row r="462" spans="4:5" s="2" customFormat="1" x14ac:dyDescent="0.25">
      <c r="D462" s="166"/>
      <c r="E462" s="166"/>
    </row>
    <row r="463" spans="4:5" s="2" customFormat="1" x14ac:dyDescent="0.25">
      <c r="D463" s="166"/>
      <c r="E463" s="166"/>
    </row>
    <row r="464" spans="4:5" s="2" customFormat="1" x14ac:dyDescent="0.25">
      <c r="D464" s="166"/>
      <c r="E464" s="166"/>
    </row>
    <row r="465" spans="4:5" s="2" customFormat="1" x14ac:dyDescent="0.25">
      <c r="D465" s="166"/>
      <c r="E465" s="166"/>
    </row>
    <row r="466" spans="4:5" s="2" customFormat="1" x14ac:dyDescent="0.25">
      <c r="D466" s="166"/>
      <c r="E466" s="166"/>
    </row>
    <row r="467" spans="4:5" s="2" customFormat="1" x14ac:dyDescent="0.25">
      <c r="D467" s="166"/>
      <c r="E467" s="166"/>
    </row>
    <row r="468" spans="4:5" s="2" customFormat="1" x14ac:dyDescent="0.25">
      <c r="D468" s="166"/>
      <c r="E468" s="166"/>
    </row>
    <row r="469" spans="4:5" s="2" customFormat="1" x14ac:dyDescent="0.25">
      <c r="D469" s="166"/>
      <c r="E469" s="166"/>
    </row>
    <row r="470" spans="4:5" s="2" customFormat="1" x14ac:dyDescent="0.25">
      <c r="D470" s="166"/>
      <c r="E470" s="166"/>
    </row>
    <row r="471" spans="4:5" s="2" customFormat="1" x14ac:dyDescent="0.25">
      <c r="D471" s="166"/>
      <c r="E471" s="166"/>
    </row>
    <row r="472" spans="4:5" s="2" customFormat="1" x14ac:dyDescent="0.25">
      <c r="D472" s="166"/>
      <c r="E472" s="166"/>
    </row>
    <row r="473" spans="4:5" s="2" customFormat="1" x14ac:dyDescent="0.25">
      <c r="D473" s="166"/>
      <c r="E473" s="166"/>
    </row>
    <row r="474" spans="4:5" s="2" customFormat="1" x14ac:dyDescent="0.25">
      <c r="D474" s="166"/>
      <c r="E474" s="166"/>
    </row>
    <row r="475" spans="4:5" s="2" customFormat="1" x14ac:dyDescent="0.25">
      <c r="D475" s="166"/>
      <c r="E475" s="166"/>
    </row>
    <row r="476" spans="4:5" s="2" customFormat="1" x14ac:dyDescent="0.25">
      <c r="D476" s="166"/>
      <c r="E476" s="166"/>
    </row>
    <row r="477" spans="4:5" s="2" customFormat="1" x14ac:dyDescent="0.25">
      <c r="D477" s="166"/>
      <c r="E477" s="166"/>
    </row>
    <row r="478" spans="4:5" s="2" customFormat="1" x14ac:dyDescent="0.25">
      <c r="D478" s="166"/>
      <c r="E478" s="166"/>
    </row>
    <row r="479" spans="4:5" s="2" customFormat="1" x14ac:dyDescent="0.25">
      <c r="D479" s="166"/>
      <c r="E479" s="166"/>
    </row>
    <row r="480" spans="4:5" s="2" customFormat="1" x14ac:dyDescent="0.25">
      <c r="D480" s="166"/>
      <c r="E480" s="166"/>
    </row>
    <row r="481" spans="4:5" s="2" customFormat="1" x14ac:dyDescent="0.25">
      <c r="D481" s="166"/>
      <c r="E481" s="166"/>
    </row>
    <row r="482" spans="4:5" s="2" customFormat="1" x14ac:dyDescent="0.25">
      <c r="D482" s="166"/>
      <c r="E482" s="166"/>
    </row>
    <row r="483" spans="4:5" s="2" customFormat="1" x14ac:dyDescent="0.25">
      <c r="D483" s="166"/>
      <c r="E483" s="166"/>
    </row>
    <row r="484" spans="4:5" s="2" customFormat="1" x14ac:dyDescent="0.25">
      <c r="D484" s="166"/>
      <c r="E484" s="166"/>
    </row>
    <row r="485" spans="4:5" s="2" customFormat="1" x14ac:dyDescent="0.25">
      <c r="D485" s="166"/>
      <c r="E485" s="166"/>
    </row>
    <row r="486" spans="4:5" s="2" customFormat="1" x14ac:dyDescent="0.25">
      <c r="D486" s="166"/>
      <c r="E486" s="166"/>
    </row>
    <row r="487" spans="4:5" s="2" customFormat="1" x14ac:dyDescent="0.25">
      <c r="D487" s="166"/>
      <c r="E487" s="166"/>
    </row>
    <row r="488" spans="4:5" s="2" customFormat="1" x14ac:dyDescent="0.25">
      <c r="D488" s="166"/>
      <c r="E488" s="166"/>
    </row>
    <row r="489" spans="4:5" s="2" customFormat="1" x14ac:dyDescent="0.25">
      <c r="D489" s="166"/>
      <c r="E489" s="166"/>
    </row>
    <row r="490" spans="4:5" s="2" customFormat="1" x14ac:dyDescent="0.25">
      <c r="D490" s="166"/>
      <c r="E490" s="166"/>
    </row>
    <row r="491" spans="4:5" s="2" customFormat="1" x14ac:dyDescent="0.25">
      <c r="D491" s="166"/>
      <c r="E491" s="166"/>
    </row>
    <row r="492" spans="4:5" s="2" customFormat="1" x14ac:dyDescent="0.25">
      <c r="D492" s="166"/>
      <c r="E492" s="166"/>
    </row>
    <row r="493" spans="4:5" s="2" customFormat="1" x14ac:dyDescent="0.25">
      <c r="D493" s="166"/>
      <c r="E493" s="166"/>
    </row>
    <row r="494" spans="4:5" s="2" customFormat="1" x14ac:dyDescent="0.25">
      <c r="D494" s="166"/>
      <c r="E494" s="166"/>
    </row>
    <row r="495" spans="4:5" s="2" customFormat="1" x14ac:dyDescent="0.25">
      <c r="D495" s="166"/>
      <c r="E495" s="166"/>
    </row>
    <row r="496" spans="4:5" s="2" customFormat="1" x14ac:dyDescent="0.25">
      <c r="D496" s="166"/>
      <c r="E496" s="166"/>
    </row>
    <row r="497" spans="4:5" s="2" customFormat="1" x14ac:dyDescent="0.25">
      <c r="D497" s="166"/>
      <c r="E497" s="166"/>
    </row>
    <row r="498" spans="4:5" s="2" customFormat="1" x14ac:dyDescent="0.25">
      <c r="D498" s="166"/>
      <c r="E498" s="166"/>
    </row>
    <row r="499" spans="4:5" s="2" customFormat="1" x14ac:dyDescent="0.25">
      <c r="D499" s="166"/>
      <c r="E499" s="166"/>
    </row>
    <row r="500" spans="4:5" s="2" customFormat="1" x14ac:dyDescent="0.25">
      <c r="D500" s="166"/>
      <c r="E500" s="166"/>
    </row>
    <row r="501" spans="4:5" s="2" customFormat="1" x14ac:dyDescent="0.25">
      <c r="D501" s="166"/>
      <c r="E501" s="166"/>
    </row>
    <row r="502" spans="4:5" s="2" customFormat="1" x14ac:dyDescent="0.25">
      <c r="D502" s="166"/>
      <c r="E502" s="166"/>
    </row>
    <row r="503" spans="4:5" s="2" customFormat="1" x14ac:dyDescent="0.25">
      <c r="D503" s="166"/>
      <c r="E503" s="166"/>
    </row>
    <row r="504" spans="4:5" s="2" customFormat="1" x14ac:dyDescent="0.25">
      <c r="D504" s="166"/>
      <c r="E504" s="166"/>
    </row>
    <row r="505" spans="4:5" s="2" customFormat="1" x14ac:dyDescent="0.25">
      <c r="D505" s="166"/>
      <c r="E505" s="166"/>
    </row>
    <row r="506" spans="4:5" s="2" customFormat="1" x14ac:dyDescent="0.25">
      <c r="D506" s="166"/>
      <c r="E506" s="166"/>
    </row>
    <row r="507" spans="4:5" s="2" customFormat="1" x14ac:dyDescent="0.25">
      <c r="D507" s="166"/>
      <c r="E507" s="166"/>
    </row>
    <row r="508" spans="4:5" s="2" customFormat="1" x14ac:dyDescent="0.25">
      <c r="D508" s="166"/>
      <c r="E508" s="166"/>
    </row>
    <row r="509" spans="4:5" s="2" customFormat="1" x14ac:dyDescent="0.25">
      <c r="D509" s="166"/>
      <c r="E509" s="166"/>
    </row>
    <row r="510" spans="4:5" s="2" customFormat="1" x14ac:dyDescent="0.25">
      <c r="D510" s="166"/>
      <c r="E510" s="166"/>
    </row>
    <row r="511" spans="4:5" s="2" customFormat="1" x14ac:dyDescent="0.25">
      <c r="D511" s="166"/>
      <c r="E511" s="166"/>
    </row>
    <row r="512" spans="4:5" s="2" customFormat="1" x14ac:dyDescent="0.25">
      <c r="D512" s="166"/>
      <c r="E512" s="166"/>
    </row>
    <row r="513" spans="4:5" s="2" customFormat="1" x14ac:dyDescent="0.25">
      <c r="D513" s="166"/>
      <c r="E513" s="166"/>
    </row>
    <row r="514" spans="4:5" s="2" customFormat="1" x14ac:dyDescent="0.25">
      <c r="D514" s="166"/>
      <c r="E514" s="166"/>
    </row>
    <row r="515" spans="4:5" s="2" customFormat="1" x14ac:dyDescent="0.25">
      <c r="D515" s="166"/>
      <c r="E515" s="166"/>
    </row>
    <row r="516" spans="4:5" s="2" customFormat="1" x14ac:dyDescent="0.25">
      <c r="D516" s="166"/>
      <c r="E516" s="166"/>
    </row>
    <row r="517" spans="4:5" s="2" customFormat="1" x14ac:dyDescent="0.25">
      <c r="D517" s="166"/>
      <c r="E517" s="166"/>
    </row>
    <row r="518" spans="4:5" s="2" customFormat="1" x14ac:dyDescent="0.25">
      <c r="D518" s="166"/>
      <c r="E518" s="166"/>
    </row>
    <row r="519" spans="4:5" s="2" customFormat="1" x14ac:dyDescent="0.25">
      <c r="D519" s="166"/>
      <c r="E519" s="166"/>
    </row>
    <row r="520" spans="4:5" s="2" customFormat="1" x14ac:dyDescent="0.25">
      <c r="D520" s="166"/>
      <c r="E520" s="166"/>
    </row>
    <row r="521" spans="4:5" s="2" customFormat="1" x14ac:dyDescent="0.25">
      <c r="D521" s="166"/>
      <c r="E521" s="166"/>
    </row>
    <row r="522" spans="4:5" s="2" customFormat="1" x14ac:dyDescent="0.25">
      <c r="D522" s="166"/>
      <c r="E522" s="166"/>
    </row>
    <row r="523" spans="4:5" s="2" customFormat="1" x14ac:dyDescent="0.25">
      <c r="D523" s="166"/>
      <c r="E523" s="166"/>
    </row>
    <row r="524" spans="4:5" s="2" customFormat="1" x14ac:dyDescent="0.25">
      <c r="D524" s="166"/>
      <c r="E524" s="166"/>
    </row>
    <row r="525" spans="4:5" s="2" customFormat="1" x14ac:dyDescent="0.25">
      <c r="D525" s="166"/>
      <c r="E525" s="166"/>
    </row>
    <row r="526" spans="4:5" s="2" customFormat="1" x14ac:dyDescent="0.25">
      <c r="D526" s="166"/>
      <c r="E526" s="166"/>
    </row>
    <row r="527" spans="4:5" s="2" customFormat="1" x14ac:dyDescent="0.25">
      <c r="D527" s="166"/>
      <c r="E527" s="166"/>
    </row>
    <row r="528" spans="4:5" s="2" customFormat="1" x14ac:dyDescent="0.25">
      <c r="D528" s="166"/>
      <c r="E528" s="166"/>
    </row>
    <row r="529" spans="4:5" s="2" customFormat="1" x14ac:dyDescent="0.25">
      <c r="D529" s="166"/>
      <c r="E529" s="166"/>
    </row>
    <row r="530" spans="4:5" s="2" customFormat="1" x14ac:dyDescent="0.25">
      <c r="D530" s="166"/>
      <c r="E530" s="166"/>
    </row>
    <row r="531" spans="4:5" s="2" customFormat="1" x14ac:dyDescent="0.25">
      <c r="D531" s="166"/>
      <c r="E531" s="166"/>
    </row>
    <row r="532" spans="4:5" s="2" customFormat="1" x14ac:dyDescent="0.25">
      <c r="D532" s="166"/>
      <c r="E532" s="166"/>
    </row>
    <row r="533" spans="4:5" s="2" customFormat="1" x14ac:dyDescent="0.25">
      <c r="D533" s="166"/>
      <c r="E533" s="166"/>
    </row>
    <row r="534" spans="4:5" s="2" customFormat="1" x14ac:dyDescent="0.25">
      <c r="D534" s="166"/>
      <c r="E534" s="166"/>
    </row>
    <row r="535" spans="4:5" s="2" customFormat="1" x14ac:dyDescent="0.25">
      <c r="D535" s="166"/>
      <c r="E535" s="166"/>
    </row>
    <row r="536" spans="4:5" s="2" customFormat="1" x14ac:dyDescent="0.25">
      <c r="D536" s="166"/>
      <c r="E536" s="166"/>
    </row>
    <row r="537" spans="4:5" s="2" customFormat="1" x14ac:dyDescent="0.25">
      <c r="D537" s="166"/>
      <c r="E537" s="166"/>
    </row>
    <row r="538" spans="4:5" s="2" customFormat="1" x14ac:dyDescent="0.25">
      <c r="D538" s="166"/>
      <c r="E538" s="166"/>
    </row>
    <row r="539" spans="4:5" s="2" customFormat="1" x14ac:dyDescent="0.25">
      <c r="D539" s="166"/>
      <c r="E539" s="166"/>
    </row>
    <row r="540" spans="4:5" s="2" customFormat="1" x14ac:dyDescent="0.25">
      <c r="D540" s="166"/>
      <c r="E540" s="166"/>
    </row>
    <row r="541" spans="4:5" s="2" customFormat="1" x14ac:dyDescent="0.25">
      <c r="D541" s="166"/>
      <c r="E541" s="166"/>
    </row>
    <row r="542" spans="4:5" s="2" customFormat="1" x14ac:dyDescent="0.25">
      <c r="D542" s="166"/>
      <c r="E542" s="166"/>
    </row>
    <row r="543" spans="4:5" s="2" customFormat="1" x14ac:dyDescent="0.25">
      <c r="D543" s="166"/>
      <c r="E543" s="166"/>
    </row>
    <row r="544" spans="4:5" s="2" customFormat="1" x14ac:dyDescent="0.25">
      <c r="D544" s="166"/>
      <c r="E544" s="166"/>
    </row>
    <row r="545" spans="4:5" s="2" customFormat="1" x14ac:dyDescent="0.25">
      <c r="D545" s="166"/>
      <c r="E545" s="166"/>
    </row>
    <row r="546" spans="4:5" s="2" customFormat="1" x14ac:dyDescent="0.25">
      <c r="D546" s="166"/>
      <c r="E546" s="166"/>
    </row>
    <row r="547" spans="4:5" s="2" customFormat="1" x14ac:dyDescent="0.25">
      <c r="D547" s="166"/>
      <c r="E547" s="166"/>
    </row>
    <row r="548" spans="4:5" s="2" customFormat="1" x14ac:dyDescent="0.25">
      <c r="D548" s="166"/>
      <c r="E548" s="166"/>
    </row>
    <row r="549" spans="4:5" s="2" customFormat="1" x14ac:dyDescent="0.25">
      <c r="D549" s="166"/>
      <c r="E549" s="166"/>
    </row>
    <row r="550" spans="4:5" s="2" customFormat="1" x14ac:dyDescent="0.25">
      <c r="D550" s="166"/>
      <c r="E550" s="166"/>
    </row>
    <row r="551" spans="4:5" s="2" customFormat="1" x14ac:dyDescent="0.25">
      <c r="D551" s="166"/>
      <c r="E551" s="166"/>
    </row>
    <row r="552" spans="4:5" s="2" customFormat="1" x14ac:dyDescent="0.25">
      <c r="D552" s="166"/>
      <c r="E552" s="166"/>
    </row>
    <row r="553" spans="4:5" s="2" customFormat="1" x14ac:dyDescent="0.25">
      <c r="D553" s="166"/>
      <c r="E553" s="166"/>
    </row>
    <row r="554" spans="4:5" s="2" customFormat="1" x14ac:dyDescent="0.25">
      <c r="D554" s="166"/>
      <c r="E554" s="166"/>
    </row>
    <row r="555" spans="4:5" s="2" customFormat="1" x14ac:dyDescent="0.25">
      <c r="D555" s="166"/>
      <c r="E555" s="166"/>
    </row>
    <row r="556" spans="4:5" s="2" customFormat="1" x14ac:dyDescent="0.25">
      <c r="D556" s="166"/>
      <c r="E556" s="166"/>
    </row>
    <row r="557" spans="4:5" s="2" customFormat="1" x14ac:dyDescent="0.25">
      <c r="D557" s="166"/>
      <c r="E557" s="166"/>
    </row>
    <row r="558" spans="4:5" s="2" customFormat="1" x14ac:dyDescent="0.25">
      <c r="D558" s="166"/>
      <c r="E558" s="166"/>
    </row>
    <row r="559" spans="4:5" s="2" customFormat="1" x14ac:dyDescent="0.25">
      <c r="D559" s="166"/>
      <c r="E559" s="166"/>
    </row>
    <row r="560" spans="4:5" s="2" customFormat="1" x14ac:dyDescent="0.25">
      <c r="D560" s="166"/>
      <c r="E560" s="166"/>
    </row>
    <row r="561" spans="4:5" s="2" customFormat="1" x14ac:dyDescent="0.25">
      <c r="D561" s="166"/>
      <c r="E561" s="166"/>
    </row>
    <row r="562" spans="4:5" s="2" customFormat="1" x14ac:dyDescent="0.25">
      <c r="D562" s="166"/>
      <c r="E562" s="166"/>
    </row>
    <row r="563" spans="4:5" s="2" customFormat="1" x14ac:dyDescent="0.25">
      <c r="D563" s="166"/>
      <c r="E563" s="166"/>
    </row>
    <row r="564" spans="4:5" s="2" customFormat="1" x14ac:dyDescent="0.25">
      <c r="D564" s="166"/>
      <c r="E564" s="166"/>
    </row>
    <row r="565" spans="4:5" s="2" customFormat="1" x14ac:dyDescent="0.25">
      <c r="D565" s="166"/>
      <c r="E565" s="166"/>
    </row>
    <row r="566" spans="4:5" s="2" customFormat="1" x14ac:dyDescent="0.25">
      <c r="D566" s="166"/>
      <c r="E566" s="166"/>
    </row>
    <row r="567" spans="4:5" s="2" customFormat="1" x14ac:dyDescent="0.25">
      <c r="D567" s="166"/>
      <c r="E567" s="166"/>
    </row>
    <row r="568" spans="4:5" s="2" customFormat="1" x14ac:dyDescent="0.25">
      <c r="D568" s="166"/>
      <c r="E568" s="166"/>
    </row>
    <row r="569" spans="4:5" s="2" customFormat="1" x14ac:dyDescent="0.25">
      <c r="D569" s="166"/>
      <c r="E569" s="166"/>
    </row>
    <row r="570" spans="4:5" s="2" customFormat="1" x14ac:dyDescent="0.25">
      <c r="D570" s="166"/>
      <c r="E570" s="166"/>
    </row>
    <row r="571" spans="4:5" s="2" customFormat="1" x14ac:dyDescent="0.25">
      <c r="D571" s="166"/>
      <c r="E571" s="166"/>
    </row>
    <row r="572" spans="4:5" s="2" customFormat="1" x14ac:dyDescent="0.25">
      <c r="D572" s="166"/>
      <c r="E572" s="166"/>
    </row>
    <row r="573" spans="4:5" s="2" customFormat="1" x14ac:dyDescent="0.25">
      <c r="D573" s="166"/>
      <c r="E573" s="166"/>
    </row>
    <row r="574" spans="4:5" s="2" customFormat="1" x14ac:dyDescent="0.25">
      <c r="D574" s="166"/>
      <c r="E574" s="166"/>
    </row>
    <row r="575" spans="4:5" s="2" customFormat="1" x14ac:dyDescent="0.25">
      <c r="D575" s="166"/>
      <c r="E575" s="166"/>
    </row>
    <row r="576" spans="4:5" s="2" customFormat="1" x14ac:dyDescent="0.25">
      <c r="D576" s="166"/>
      <c r="E576" s="166"/>
    </row>
    <row r="577" spans="4:5" s="2" customFormat="1" x14ac:dyDescent="0.25">
      <c r="D577" s="166"/>
      <c r="E577" s="166"/>
    </row>
    <row r="578" spans="4:5" s="2" customFormat="1" x14ac:dyDescent="0.25">
      <c r="D578" s="166"/>
      <c r="E578" s="166"/>
    </row>
    <row r="579" spans="4:5" s="2" customFormat="1" x14ac:dyDescent="0.25">
      <c r="D579" s="166"/>
      <c r="E579" s="166"/>
    </row>
    <row r="580" spans="4:5" s="2" customFormat="1" x14ac:dyDescent="0.25">
      <c r="D580" s="166"/>
      <c r="E580" s="166"/>
    </row>
    <row r="581" spans="4:5" s="2" customFormat="1" x14ac:dyDescent="0.25">
      <c r="D581" s="166"/>
      <c r="E581" s="166"/>
    </row>
    <row r="582" spans="4:5" s="2" customFormat="1" x14ac:dyDescent="0.25">
      <c r="D582" s="166"/>
      <c r="E582" s="166"/>
    </row>
    <row r="583" spans="4:5" s="2" customFormat="1" x14ac:dyDescent="0.25">
      <c r="D583" s="166"/>
      <c r="E583" s="166"/>
    </row>
    <row r="584" spans="4:5" s="2" customFormat="1" x14ac:dyDescent="0.25">
      <c r="D584" s="166"/>
      <c r="E584" s="166"/>
    </row>
    <row r="585" spans="4:5" s="2" customFormat="1" x14ac:dyDescent="0.25">
      <c r="D585" s="166"/>
      <c r="E585" s="166"/>
    </row>
    <row r="586" spans="4:5" s="2" customFormat="1" x14ac:dyDescent="0.25">
      <c r="D586" s="166"/>
      <c r="E586" s="166"/>
    </row>
    <row r="587" spans="4:5" s="2" customFormat="1" x14ac:dyDescent="0.25">
      <c r="D587" s="166"/>
      <c r="E587" s="166"/>
    </row>
    <row r="588" spans="4:5" s="2" customFormat="1" x14ac:dyDescent="0.25">
      <c r="D588" s="166"/>
      <c r="E588" s="166"/>
    </row>
    <row r="589" spans="4:5" s="2" customFormat="1" x14ac:dyDescent="0.25">
      <c r="D589" s="166"/>
      <c r="E589" s="166"/>
    </row>
    <row r="590" spans="4:5" s="2" customFormat="1" x14ac:dyDescent="0.25">
      <c r="D590" s="166"/>
      <c r="E590" s="166"/>
    </row>
    <row r="591" spans="4:5" s="2" customFormat="1" x14ac:dyDescent="0.25">
      <c r="D591" s="166"/>
      <c r="E591" s="166"/>
    </row>
    <row r="592" spans="4:5" s="2" customFormat="1" x14ac:dyDescent="0.25">
      <c r="D592" s="166"/>
      <c r="E592" s="166"/>
    </row>
    <row r="593" spans="4:5" s="2" customFormat="1" x14ac:dyDescent="0.25">
      <c r="D593" s="166"/>
      <c r="E593" s="166"/>
    </row>
    <row r="594" spans="4:5" s="2" customFormat="1" x14ac:dyDescent="0.25">
      <c r="D594" s="166"/>
      <c r="E594" s="166"/>
    </row>
    <row r="595" spans="4:5" s="2" customFormat="1" x14ac:dyDescent="0.25">
      <c r="D595" s="166"/>
      <c r="E595" s="166"/>
    </row>
    <row r="596" spans="4:5" s="2" customFormat="1" x14ac:dyDescent="0.25">
      <c r="D596" s="166"/>
      <c r="E596" s="166"/>
    </row>
    <row r="597" spans="4:5" s="2" customFormat="1" x14ac:dyDescent="0.25">
      <c r="D597" s="166"/>
      <c r="E597" s="166"/>
    </row>
    <row r="598" spans="4:5" s="2" customFormat="1" x14ac:dyDescent="0.25">
      <c r="D598" s="166"/>
      <c r="E598" s="166"/>
    </row>
    <row r="599" spans="4:5" s="2" customFormat="1" x14ac:dyDescent="0.25">
      <c r="D599" s="166"/>
      <c r="E599" s="166"/>
    </row>
    <row r="600" spans="4:5" s="2" customFormat="1" x14ac:dyDescent="0.25">
      <c r="D600" s="166"/>
      <c r="E600" s="166"/>
    </row>
    <row r="601" spans="4:5" s="2" customFormat="1" x14ac:dyDescent="0.25">
      <c r="D601" s="166"/>
      <c r="E601" s="166"/>
    </row>
    <row r="602" spans="4:5" s="2" customFormat="1" x14ac:dyDescent="0.25">
      <c r="D602" s="166"/>
      <c r="E602" s="166"/>
    </row>
    <row r="603" spans="4:5" s="2" customFormat="1" x14ac:dyDescent="0.25">
      <c r="D603" s="166"/>
      <c r="E603" s="166"/>
    </row>
    <row r="604" spans="4:5" s="2" customFormat="1" x14ac:dyDescent="0.25">
      <c r="D604" s="166"/>
      <c r="E604" s="166"/>
    </row>
    <row r="605" spans="4:5" s="2" customFormat="1" x14ac:dyDescent="0.25">
      <c r="D605" s="166"/>
      <c r="E605" s="166"/>
    </row>
    <row r="606" spans="4:5" s="2" customFormat="1" x14ac:dyDescent="0.25">
      <c r="D606" s="166"/>
      <c r="E606" s="166"/>
    </row>
    <row r="607" spans="4:5" s="2" customFormat="1" x14ac:dyDescent="0.25">
      <c r="D607" s="166"/>
      <c r="E607" s="166"/>
    </row>
    <row r="608" spans="4:5" s="2" customFormat="1" x14ac:dyDescent="0.25">
      <c r="D608" s="166"/>
      <c r="E608" s="166"/>
    </row>
    <row r="609" spans="4:5" s="2" customFormat="1" x14ac:dyDescent="0.25">
      <c r="D609" s="166"/>
      <c r="E609" s="166"/>
    </row>
    <row r="610" spans="4:5" s="2" customFormat="1" x14ac:dyDescent="0.25">
      <c r="D610" s="166"/>
      <c r="E610" s="166"/>
    </row>
    <row r="611" spans="4:5" s="2" customFormat="1" x14ac:dyDescent="0.25">
      <c r="D611" s="166"/>
      <c r="E611" s="166"/>
    </row>
    <row r="612" spans="4:5" s="2" customFormat="1" x14ac:dyDescent="0.25">
      <c r="D612" s="166"/>
      <c r="E612" s="166"/>
    </row>
    <row r="613" spans="4:5" s="2" customFormat="1" x14ac:dyDescent="0.25">
      <c r="D613" s="166"/>
      <c r="E613" s="166"/>
    </row>
    <row r="614" spans="4:5" s="2" customFormat="1" x14ac:dyDescent="0.25">
      <c r="D614" s="166"/>
      <c r="E614" s="166"/>
    </row>
    <row r="615" spans="4:5" s="2" customFormat="1" x14ac:dyDescent="0.25">
      <c r="D615" s="166"/>
      <c r="E615" s="166"/>
    </row>
    <row r="616" spans="4:5" s="2" customFormat="1" x14ac:dyDescent="0.25">
      <c r="D616" s="166"/>
      <c r="E616" s="166"/>
    </row>
    <row r="617" spans="4:5" s="2" customFormat="1" x14ac:dyDescent="0.25">
      <c r="D617" s="166"/>
      <c r="E617" s="166"/>
    </row>
    <row r="618" spans="4:5" s="2" customFormat="1" x14ac:dyDescent="0.25">
      <c r="D618" s="166"/>
      <c r="E618" s="166"/>
    </row>
    <row r="619" spans="4:5" s="2" customFormat="1" x14ac:dyDescent="0.25">
      <c r="D619" s="166"/>
      <c r="E619" s="166"/>
    </row>
    <row r="620" spans="4:5" s="2" customFormat="1" x14ac:dyDescent="0.25">
      <c r="D620" s="166"/>
      <c r="E620" s="166"/>
    </row>
    <row r="621" spans="4:5" s="2" customFormat="1" x14ac:dyDescent="0.25">
      <c r="D621" s="166"/>
      <c r="E621" s="166"/>
    </row>
    <row r="622" spans="4:5" s="2" customFormat="1" x14ac:dyDescent="0.25">
      <c r="D622" s="166"/>
      <c r="E622" s="166"/>
    </row>
    <row r="623" spans="4:5" s="2" customFormat="1" x14ac:dyDescent="0.25">
      <c r="D623" s="166"/>
      <c r="E623" s="166"/>
    </row>
    <row r="624" spans="4:5" s="2" customFormat="1" x14ac:dyDescent="0.25">
      <c r="D624" s="166"/>
      <c r="E624" s="166"/>
    </row>
    <row r="625" spans="4:5" s="2" customFormat="1" x14ac:dyDescent="0.25">
      <c r="D625" s="166"/>
      <c r="E625" s="166"/>
    </row>
    <row r="626" spans="4:5" s="2" customFormat="1" x14ac:dyDescent="0.25">
      <c r="D626" s="166"/>
      <c r="E626" s="166"/>
    </row>
    <row r="627" spans="4:5" s="2" customFormat="1" x14ac:dyDescent="0.25">
      <c r="D627" s="166"/>
      <c r="E627" s="166"/>
    </row>
    <row r="628" spans="4:5" s="2" customFormat="1" x14ac:dyDescent="0.25">
      <c r="D628" s="166"/>
      <c r="E628" s="166"/>
    </row>
    <row r="629" spans="4:5" s="2" customFormat="1" x14ac:dyDescent="0.25">
      <c r="D629" s="166"/>
      <c r="E629" s="166"/>
    </row>
    <row r="630" spans="4:5" s="2" customFormat="1" x14ac:dyDescent="0.25">
      <c r="D630" s="166"/>
      <c r="E630" s="166"/>
    </row>
    <row r="631" spans="4:5" s="2" customFormat="1" x14ac:dyDescent="0.25">
      <c r="D631" s="166"/>
      <c r="E631" s="166"/>
    </row>
    <row r="632" spans="4:5" s="2" customFormat="1" x14ac:dyDescent="0.25">
      <c r="D632" s="166"/>
      <c r="E632" s="166"/>
    </row>
    <row r="633" spans="4:5" s="2" customFormat="1" x14ac:dyDescent="0.25">
      <c r="D633" s="166"/>
      <c r="E633" s="166"/>
    </row>
    <row r="634" spans="4:5" s="2" customFormat="1" x14ac:dyDescent="0.25">
      <c r="D634" s="166"/>
      <c r="E634" s="166"/>
    </row>
    <row r="635" spans="4:5" s="2" customFormat="1" x14ac:dyDescent="0.25">
      <c r="D635" s="166"/>
      <c r="E635" s="166"/>
    </row>
    <row r="636" spans="4:5" s="2" customFormat="1" x14ac:dyDescent="0.25">
      <c r="D636" s="166"/>
      <c r="E636" s="166"/>
    </row>
    <row r="637" spans="4:5" s="2" customFormat="1" x14ac:dyDescent="0.25">
      <c r="D637" s="166"/>
      <c r="E637" s="166"/>
    </row>
    <row r="638" spans="4:5" s="2" customFormat="1" x14ac:dyDescent="0.25">
      <c r="D638" s="166"/>
      <c r="E638" s="166"/>
    </row>
    <row r="639" spans="4:5" s="2" customFormat="1" x14ac:dyDescent="0.25">
      <c r="D639" s="166"/>
      <c r="E639" s="166"/>
    </row>
    <row r="640" spans="4:5" s="2" customFormat="1" x14ac:dyDescent="0.25">
      <c r="D640" s="166"/>
      <c r="E640" s="166"/>
    </row>
    <row r="641" spans="4:5" s="2" customFormat="1" x14ac:dyDescent="0.25">
      <c r="D641" s="166"/>
      <c r="E641" s="166"/>
    </row>
    <row r="642" spans="4:5" s="2" customFormat="1" x14ac:dyDescent="0.25">
      <c r="D642" s="166"/>
      <c r="E642" s="166"/>
    </row>
    <row r="643" spans="4:5" s="2" customFormat="1" x14ac:dyDescent="0.25">
      <c r="D643" s="166"/>
      <c r="E643" s="166"/>
    </row>
    <row r="644" spans="4:5" s="2" customFormat="1" x14ac:dyDescent="0.25">
      <c r="D644" s="166"/>
      <c r="E644" s="166"/>
    </row>
    <row r="645" spans="4:5" s="2" customFormat="1" x14ac:dyDescent="0.25">
      <c r="D645" s="166"/>
      <c r="E645" s="166"/>
    </row>
    <row r="646" spans="4:5" s="2" customFormat="1" x14ac:dyDescent="0.25">
      <c r="D646" s="166"/>
      <c r="E646" s="166"/>
    </row>
    <row r="647" spans="4:5" s="2" customFormat="1" x14ac:dyDescent="0.25">
      <c r="D647" s="166"/>
      <c r="E647" s="166"/>
    </row>
    <row r="648" spans="4:5" s="2" customFormat="1" x14ac:dyDescent="0.25">
      <c r="D648" s="166"/>
      <c r="E648" s="166"/>
    </row>
    <row r="649" spans="4:5" s="2" customFormat="1" x14ac:dyDescent="0.25">
      <c r="D649" s="166"/>
      <c r="E649" s="166"/>
    </row>
    <row r="650" spans="4:5" s="2" customFormat="1" x14ac:dyDescent="0.25">
      <c r="D650" s="166"/>
      <c r="E650" s="166"/>
    </row>
    <row r="651" spans="4:5" s="2" customFormat="1" x14ac:dyDescent="0.25">
      <c r="D651" s="166"/>
      <c r="E651" s="166"/>
    </row>
    <row r="652" spans="4:5" s="2" customFormat="1" x14ac:dyDescent="0.25">
      <c r="D652" s="166"/>
      <c r="E652" s="166"/>
    </row>
    <row r="653" spans="4:5" s="2" customFormat="1" x14ac:dyDescent="0.25">
      <c r="D653" s="166"/>
      <c r="E653" s="166"/>
    </row>
    <row r="654" spans="4:5" s="2" customFormat="1" x14ac:dyDescent="0.25">
      <c r="D654" s="166"/>
      <c r="E654" s="166"/>
    </row>
    <row r="655" spans="4:5" s="2" customFormat="1" x14ac:dyDescent="0.25">
      <c r="D655" s="166"/>
      <c r="E655" s="166"/>
    </row>
    <row r="656" spans="4:5" s="2" customFormat="1" x14ac:dyDescent="0.25">
      <c r="D656" s="166"/>
      <c r="E656" s="166"/>
    </row>
    <row r="657" spans="4:5" s="2" customFormat="1" x14ac:dyDescent="0.25">
      <c r="D657" s="166"/>
      <c r="E657" s="166"/>
    </row>
    <row r="658" spans="4:5" s="2" customFormat="1" x14ac:dyDescent="0.25">
      <c r="D658" s="166"/>
      <c r="E658" s="166"/>
    </row>
    <row r="659" spans="4:5" s="2" customFormat="1" x14ac:dyDescent="0.25">
      <c r="D659" s="166"/>
      <c r="E659" s="166"/>
    </row>
    <row r="660" spans="4:5" s="2" customFormat="1" x14ac:dyDescent="0.25">
      <c r="D660" s="166"/>
      <c r="E660" s="166"/>
    </row>
    <row r="661" spans="4:5" s="2" customFormat="1" x14ac:dyDescent="0.25">
      <c r="D661" s="166"/>
      <c r="E661" s="166"/>
    </row>
    <row r="662" spans="4:5" s="2" customFormat="1" x14ac:dyDescent="0.25">
      <c r="D662" s="166"/>
      <c r="E662" s="166"/>
    </row>
    <row r="663" spans="4:5" s="2" customFormat="1" x14ac:dyDescent="0.25">
      <c r="D663" s="166"/>
      <c r="E663" s="166"/>
    </row>
    <row r="664" spans="4:5" s="2" customFormat="1" x14ac:dyDescent="0.25">
      <c r="D664" s="166"/>
      <c r="E664" s="166"/>
    </row>
    <row r="665" spans="4:5" s="2" customFormat="1" x14ac:dyDescent="0.25">
      <c r="D665" s="166"/>
      <c r="E665" s="166"/>
    </row>
    <row r="666" spans="4:5" s="2" customFormat="1" x14ac:dyDescent="0.25">
      <c r="D666" s="166"/>
      <c r="E666" s="166"/>
    </row>
    <row r="667" spans="4:5" s="2" customFormat="1" x14ac:dyDescent="0.25">
      <c r="D667" s="166"/>
      <c r="E667" s="166"/>
    </row>
    <row r="668" spans="4:5" s="2" customFormat="1" x14ac:dyDescent="0.25">
      <c r="D668" s="166"/>
      <c r="E668" s="166"/>
    </row>
    <row r="669" spans="4:5" s="2" customFormat="1" x14ac:dyDescent="0.25">
      <c r="D669" s="166"/>
      <c r="E669" s="166"/>
    </row>
    <row r="670" spans="4:5" s="2" customFormat="1" x14ac:dyDescent="0.25">
      <c r="D670" s="166"/>
      <c r="E670" s="166"/>
    </row>
    <row r="671" spans="4:5" s="2" customFormat="1" x14ac:dyDescent="0.25">
      <c r="D671" s="166"/>
      <c r="E671" s="166"/>
    </row>
    <row r="672" spans="4:5" s="2" customFormat="1" x14ac:dyDescent="0.25">
      <c r="D672" s="166"/>
      <c r="E672" s="166"/>
    </row>
    <row r="673" spans="4:5" s="2" customFormat="1" x14ac:dyDescent="0.25">
      <c r="D673" s="166"/>
      <c r="E673" s="166"/>
    </row>
    <row r="674" spans="4:5" s="2" customFormat="1" x14ac:dyDescent="0.25">
      <c r="D674" s="166"/>
      <c r="E674" s="166"/>
    </row>
    <row r="675" spans="4:5" s="2" customFormat="1" x14ac:dyDescent="0.25">
      <c r="D675" s="166"/>
      <c r="E675" s="166"/>
    </row>
    <row r="676" spans="4:5" s="2" customFormat="1" x14ac:dyDescent="0.25">
      <c r="D676" s="166"/>
      <c r="E676" s="166"/>
    </row>
    <row r="677" spans="4:5" s="2" customFormat="1" x14ac:dyDescent="0.25">
      <c r="D677" s="166"/>
      <c r="E677" s="166"/>
    </row>
    <row r="678" spans="4:5" s="2" customFormat="1" x14ac:dyDescent="0.25">
      <c r="D678" s="166"/>
      <c r="E678" s="166"/>
    </row>
    <row r="679" spans="4:5" s="2" customFormat="1" x14ac:dyDescent="0.25">
      <c r="D679" s="166"/>
      <c r="E679" s="166"/>
    </row>
    <row r="680" spans="4:5" s="2" customFormat="1" x14ac:dyDescent="0.25">
      <c r="D680" s="166"/>
      <c r="E680" s="166"/>
    </row>
    <row r="681" spans="4:5" s="2" customFormat="1" x14ac:dyDescent="0.25">
      <c r="D681" s="166"/>
      <c r="E681" s="166"/>
    </row>
    <row r="682" spans="4:5" s="2" customFormat="1" x14ac:dyDescent="0.25">
      <c r="D682" s="166"/>
      <c r="E682" s="166"/>
    </row>
    <row r="683" spans="4:5" s="2" customFormat="1" x14ac:dyDescent="0.25">
      <c r="D683" s="166"/>
      <c r="E683" s="166"/>
    </row>
    <row r="684" spans="4:5" s="2" customFormat="1" x14ac:dyDescent="0.25">
      <c r="D684" s="166"/>
      <c r="E684" s="166"/>
    </row>
    <row r="685" spans="4:5" s="2" customFormat="1" x14ac:dyDescent="0.25">
      <c r="D685" s="166"/>
      <c r="E685" s="166"/>
    </row>
    <row r="686" spans="4:5" s="2" customFormat="1" x14ac:dyDescent="0.25">
      <c r="D686" s="166"/>
      <c r="E686" s="166"/>
    </row>
    <row r="687" spans="4:5" s="2" customFormat="1" x14ac:dyDescent="0.25">
      <c r="D687" s="166"/>
      <c r="E687" s="166"/>
    </row>
    <row r="688" spans="4:5" s="2" customFormat="1" x14ac:dyDescent="0.25">
      <c r="D688" s="166"/>
      <c r="E688" s="166"/>
    </row>
    <row r="689" spans="4:5" s="2" customFormat="1" x14ac:dyDescent="0.25">
      <c r="D689" s="166"/>
      <c r="E689" s="166"/>
    </row>
    <row r="690" spans="4:5" s="2" customFormat="1" x14ac:dyDescent="0.25">
      <c r="D690" s="166"/>
      <c r="E690" s="166"/>
    </row>
    <row r="691" spans="4:5" s="2" customFormat="1" x14ac:dyDescent="0.25">
      <c r="D691" s="166"/>
      <c r="E691" s="166"/>
    </row>
    <row r="692" spans="4:5" s="2" customFormat="1" x14ac:dyDescent="0.25">
      <c r="D692" s="166"/>
      <c r="E692" s="166"/>
    </row>
    <row r="693" spans="4:5" s="2" customFormat="1" x14ac:dyDescent="0.25">
      <c r="D693" s="166"/>
      <c r="E693" s="166"/>
    </row>
    <row r="694" spans="4:5" s="2" customFormat="1" x14ac:dyDescent="0.25">
      <c r="D694" s="166"/>
      <c r="E694" s="166"/>
    </row>
    <row r="695" spans="4:5" s="2" customFormat="1" x14ac:dyDescent="0.25">
      <c r="D695" s="166"/>
      <c r="E695" s="166"/>
    </row>
    <row r="696" spans="4:5" s="2" customFormat="1" x14ac:dyDescent="0.25">
      <c r="D696" s="166"/>
      <c r="E696" s="166"/>
    </row>
    <row r="697" spans="4:5" s="2" customFormat="1" x14ac:dyDescent="0.25">
      <c r="D697" s="166"/>
      <c r="E697" s="166"/>
    </row>
    <row r="698" spans="4:5" s="2" customFormat="1" x14ac:dyDescent="0.25">
      <c r="D698" s="166"/>
      <c r="E698" s="166"/>
    </row>
    <row r="699" spans="4:5" s="2" customFormat="1" x14ac:dyDescent="0.25">
      <c r="D699" s="166"/>
      <c r="E699" s="166"/>
    </row>
    <row r="700" spans="4:5" s="2" customFormat="1" x14ac:dyDescent="0.25">
      <c r="D700" s="166"/>
      <c r="E700" s="166"/>
    </row>
    <row r="701" spans="4:5" s="2" customFormat="1" x14ac:dyDescent="0.25">
      <c r="D701" s="166"/>
      <c r="E701" s="166"/>
    </row>
    <row r="702" spans="4:5" s="2" customFormat="1" x14ac:dyDescent="0.25">
      <c r="D702" s="166"/>
      <c r="E702" s="166"/>
    </row>
    <row r="703" spans="4:5" s="2" customFormat="1" x14ac:dyDescent="0.25">
      <c r="D703" s="166"/>
      <c r="E703" s="166"/>
    </row>
    <row r="704" spans="4:5" s="2" customFormat="1" x14ac:dyDescent="0.25">
      <c r="D704" s="166"/>
      <c r="E704" s="166"/>
    </row>
    <row r="705" spans="4:5" s="2" customFormat="1" x14ac:dyDescent="0.25">
      <c r="D705" s="166"/>
      <c r="E705" s="166"/>
    </row>
    <row r="706" spans="4:5" s="2" customFormat="1" x14ac:dyDescent="0.25">
      <c r="D706" s="166"/>
      <c r="E706" s="166"/>
    </row>
    <row r="707" spans="4:5" s="2" customFormat="1" x14ac:dyDescent="0.25">
      <c r="D707" s="166"/>
      <c r="E707" s="166"/>
    </row>
    <row r="708" spans="4:5" s="2" customFormat="1" x14ac:dyDescent="0.25">
      <c r="D708" s="166"/>
      <c r="E708" s="166"/>
    </row>
    <row r="709" spans="4:5" s="2" customFormat="1" x14ac:dyDescent="0.25">
      <c r="D709" s="166"/>
      <c r="E709" s="166"/>
    </row>
    <row r="710" spans="4:5" s="2" customFormat="1" x14ac:dyDescent="0.25">
      <c r="D710" s="166"/>
      <c r="E710" s="166"/>
    </row>
    <row r="711" spans="4:5" s="2" customFormat="1" x14ac:dyDescent="0.25">
      <c r="D711" s="166"/>
      <c r="E711" s="166"/>
    </row>
    <row r="712" spans="4:5" s="2" customFormat="1" x14ac:dyDescent="0.25">
      <c r="D712" s="166"/>
      <c r="E712" s="166"/>
    </row>
    <row r="713" spans="4:5" s="2" customFormat="1" x14ac:dyDescent="0.25">
      <c r="D713" s="166"/>
      <c r="E713" s="166"/>
    </row>
    <row r="714" spans="4:5" s="2" customFormat="1" x14ac:dyDescent="0.25">
      <c r="D714" s="166"/>
      <c r="E714" s="166"/>
    </row>
    <row r="715" spans="4:5" s="2" customFormat="1" x14ac:dyDescent="0.25">
      <c r="D715" s="166"/>
      <c r="E715" s="166"/>
    </row>
    <row r="716" spans="4:5" s="2" customFormat="1" x14ac:dyDescent="0.25">
      <c r="D716" s="166"/>
      <c r="E716" s="166"/>
    </row>
    <row r="717" spans="4:5" s="2" customFormat="1" x14ac:dyDescent="0.25">
      <c r="D717" s="166"/>
      <c r="E717" s="166"/>
    </row>
    <row r="718" spans="4:5" s="2" customFormat="1" x14ac:dyDescent="0.25">
      <c r="D718" s="166"/>
      <c r="E718" s="166"/>
    </row>
    <row r="719" spans="4:5" s="2" customFormat="1" x14ac:dyDescent="0.25">
      <c r="D719" s="166"/>
      <c r="E719" s="166"/>
    </row>
    <row r="720" spans="4:5" s="2" customFormat="1" x14ac:dyDescent="0.25">
      <c r="D720" s="166"/>
      <c r="E720" s="166"/>
    </row>
    <row r="721" spans="4:5" s="2" customFormat="1" x14ac:dyDescent="0.25">
      <c r="D721" s="166"/>
      <c r="E721" s="166"/>
    </row>
    <row r="722" spans="4:5" s="2" customFormat="1" x14ac:dyDescent="0.25">
      <c r="D722" s="166"/>
      <c r="E722" s="166"/>
    </row>
    <row r="723" spans="4:5" s="2" customFormat="1" x14ac:dyDescent="0.25">
      <c r="D723" s="166"/>
      <c r="E723" s="166"/>
    </row>
    <row r="724" spans="4:5" s="2" customFormat="1" x14ac:dyDescent="0.25">
      <c r="D724" s="166"/>
      <c r="E724" s="166"/>
    </row>
    <row r="725" spans="4:5" s="2" customFormat="1" x14ac:dyDescent="0.25">
      <c r="D725" s="166"/>
      <c r="E725" s="166"/>
    </row>
    <row r="726" spans="4:5" s="2" customFormat="1" x14ac:dyDescent="0.25">
      <c r="D726" s="166"/>
      <c r="E726" s="166"/>
    </row>
    <row r="727" spans="4:5" s="2" customFormat="1" x14ac:dyDescent="0.25">
      <c r="D727" s="166"/>
      <c r="E727" s="166"/>
    </row>
    <row r="728" spans="4:5" s="2" customFormat="1" x14ac:dyDescent="0.25">
      <c r="D728" s="166"/>
      <c r="E728" s="166"/>
    </row>
    <row r="729" spans="4:5" s="2" customFormat="1" x14ac:dyDescent="0.25">
      <c r="D729" s="166"/>
      <c r="E729" s="166"/>
    </row>
    <row r="730" spans="4:5" s="2" customFormat="1" x14ac:dyDescent="0.25">
      <c r="D730" s="166"/>
      <c r="E730" s="166"/>
    </row>
    <row r="731" spans="4:5" s="2" customFormat="1" x14ac:dyDescent="0.25">
      <c r="D731" s="166"/>
      <c r="E731" s="166"/>
    </row>
    <row r="732" spans="4:5" s="2" customFormat="1" x14ac:dyDescent="0.25">
      <c r="D732" s="166"/>
      <c r="E732" s="166"/>
    </row>
    <row r="733" spans="4:5" s="2" customFormat="1" x14ac:dyDescent="0.25">
      <c r="D733" s="166"/>
      <c r="E733" s="166"/>
    </row>
    <row r="734" spans="4:5" s="2" customFormat="1" x14ac:dyDescent="0.25">
      <c r="D734" s="166"/>
      <c r="E734" s="166"/>
    </row>
    <row r="735" spans="4:5" s="2" customFormat="1" x14ac:dyDescent="0.25">
      <c r="D735" s="166"/>
      <c r="E735" s="166"/>
    </row>
    <row r="736" spans="4:5" s="2" customFormat="1" x14ac:dyDescent="0.25">
      <c r="D736" s="166"/>
      <c r="E736" s="166"/>
    </row>
    <row r="737" spans="4:5" s="2" customFormat="1" x14ac:dyDescent="0.25">
      <c r="D737" s="166"/>
      <c r="E737" s="166"/>
    </row>
    <row r="738" spans="4:5" s="2" customFormat="1" x14ac:dyDescent="0.25">
      <c r="D738" s="166"/>
      <c r="E738" s="166"/>
    </row>
    <row r="739" spans="4:5" s="2" customFormat="1" x14ac:dyDescent="0.25">
      <c r="D739" s="166"/>
      <c r="E739" s="166"/>
    </row>
    <row r="740" spans="4:5" s="2" customFormat="1" x14ac:dyDescent="0.25">
      <c r="D740" s="166"/>
      <c r="E740" s="166"/>
    </row>
    <row r="741" spans="4:5" s="2" customFormat="1" x14ac:dyDescent="0.25">
      <c r="D741" s="166"/>
      <c r="E741" s="166"/>
    </row>
    <row r="742" spans="4:5" s="2" customFormat="1" x14ac:dyDescent="0.25">
      <c r="D742" s="166"/>
      <c r="E742" s="166"/>
    </row>
    <row r="743" spans="4:5" s="2" customFormat="1" x14ac:dyDescent="0.25">
      <c r="D743" s="166"/>
      <c r="E743" s="166"/>
    </row>
    <row r="744" spans="4:5" s="2" customFormat="1" x14ac:dyDescent="0.25">
      <c r="D744" s="166"/>
      <c r="E744" s="166"/>
    </row>
    <row r="745" spans="4:5" s="2" customFormat="1" x14ac:dyDescent="0.25">
      <c r="D745" s="166"/>
      <c r="E745" s="166"/>
    </row>
    <row r="746" spans="4:5" s="2" customFormat="1" x14ac:dyDescent="0.25">
      <c r="D746" s="166"/>
      <c r="E746" s="166"/>
    </row>
    <row r="747" spans="4:5" s="2" customFormat="1" x14ac:dyDescent="0.25">
      <c r="D747" s="166"/>
      <c r="E747" s="166"/>
    </row>
    <row r="748" spans="4:5" s="2" customFormat="1" x14ac:dyDescent="0.25">
      <c r="D748" s="166"/>
      <c r="E748" s="166"/>
    </row>
    <row r="749" spans="4:5" s="2" customFormat="1" x14ac:dyDescent="0.25">
      <c r="D749" s="166"/>
      <c r="E749" s="166"/>
    </row>
    <row r="750" spans="4:5" s="2" customFormat="1" x14ac:dyDescent="0.25">
      <c r="D750" s="166"/>
      <c r="E750" s="166"/>
    </row>
    <row r="751" spans="4:5" s="2" customFormat="1" x14ac:dyDescent="0.25">
      <c r="D751" s="166"/>
      <c r="E751" s="166"/>
    </row>
    <row r="752" spans="4:5" s="2" customFormat="1" x14ac:dyDescent="0.25">
      <c r="D752" s="166"/>
      <c r="E752" s="166"/>
    </row>
    <row r="753" spans="4:5" s="2" customFormat="1" x14ac:dyDescent="0.25">
      <c r="D753" s="166"/>
      <c r="E753" s="166"/>
    </row>
    <row r="754" spans="4:5" s="2" customFormat="1" x14ac:dyDescent="0.25">
      <c r="D754" s="166"/>
      <c r="E754" s="166"/>
    </row>
    <row r="755" spans="4:5" s="2" customFormat="1" x14ac:dyDescent="0.25">
      <c r="D755" s="166"/>
      <c r="E755" s="166"/>
    </row>
    <row r="756" spans="4:5" s="2" customFormat="1" x14ac:dyDescent="0.25">
      <c r="D756" s="166"/>
      <c r="E756" s="166"/>
    </row>
    <row r="757" spans="4:5" s="2" customFormat="1" x14ac:dyDescent="0.25">
      <c r="D757" s="166"/>
      <c r="E757" s="166"/>
    </row>
    <row r="758" spans="4:5" s="2" customFormat="1" x14ac:dyDescent="0.25">
      <c r="D758" s="166"/>
      <c r="E758" s="166"/>
    </row>
    <row r="759" spans="4:5" s="2" customFormat="1" x14ac:dyDescent="0.25">
      <c r="D759" s="166"/>
      <c r="E759" s="166"/>
    </row>
    <row r="760" spans="4:5" s="2" customFormat="1" x14ac:dyDescent="0.25">
      <c r="D760" s="166"/>
      <c r="E760" s="166"/>
    </row>
    <row r="761" spans="4:5" s="2" customFormat="1" x14ac:dyDescent="0.25">
      <c r="D761" s="166"/>
      <c r="E761" s="166"/>
    </row>
    <row r="762" spans="4:5" s="2" customFormat="1" x14ac:dyDescent="0.25">
      <c r="D762" s="166"/>
      <c r="E762" s="166"/>
    </row>
    <row r="763" spans="4:5" s="2" customFormat="1" x14ac:dyDescent="0.25">
      <c r="D763" s="166"/>
      <c r="E763" s="166"/>
    </row>
    <row r="764" spans="4:5" s="2" customFormat="1" x14ac:dyDescent="0.25">
      <c r="D764" s="166"/>
      <c r="E764" s="166"/>
    </row>
    <row r="765" spans="4:5" s="2" customFormat="1" x14ac:dyDescent="0.25">
      <c r="D765" s="166"/>
      <c r="E765" s="166"/>
    </row>
    <row r="766" spans="4:5" s="2" customFormat="1" x14ac:dyDescent="0.25">
      <c r="D766" s="166"/>
      <c r="E766" s="166"/>
    </row>
    <row r="767" spans="4:5" s="2" customFormat="1" x14ac:dyDescent="0.25">
      <c r="D767" s="166"/>
      <c r="E767" s="166"/>
    </row>
    <row r="768" spans="4:5" s="2" customFormat="1" x14ac:dyDescent="0.25">
      <c r="D768" s="166"/>
      <c r="E768" s="166"/>
    </row>
    <row r="769" spans="4:5" s="2" customFormat="1" x14ac:dyDescent="0.25">
      <c r="D769" s="166"/>
      <c r="E769" s="166"/>
    </row>
    <row r="770" spans="4:5" s="2" customFormat="1" x14ac:dyDescent="0.25">
      <c r="D770" s="166"/>
      <c r="E770" s="166"/>
    </row>
    <row r="771" spans="4:5" s="2" customFormat="1" x14ac:dyDescent="0.25">
      <c r="D771" s="166"/>
      <c r="E771" s="166"/>
    </row>
    <row r="772" spans="4:5" s="2" customFormat="1" x14ac:dyDescent="0.25">
      <c r="D772" s="166"/>
      <c r="E772" s="166"/>
    </row>
    <row r="773" spans="4:5" s="2" customFormat="1" x14ac:dyDescent="0.25">
      <c r="D773" s="166"/>
      <c r="E773" s="166"/>
    </row>
    <row r="774" spans="4:5" s="2" customFormat="1" x14ac:dyDescent="0.25">
      <c r="D774" s="166"/>
      <c r="E774" s="166"/>
    </row>
    <row r="775" spans="4:5" s="2" customFormat="1" x14ac:dyDescent="0.25">
      <c r="D775" s="166"/>
      <c r="E775" s="166"/>
    </row>
    <row r="776" spans="4:5" s="2" customFormat="1" x14ac:dyDescent="0.25">
      <c r="D776" s="166"/>
      <c r="E776" s="166"/>
    </row>
    <row r="777" spans="4:5" s="2" customFormat="1" x14ac:dyDescent="0.25">
      <c r="D777" s="166"/>
      <c r="E777" s="166"/>
    </row>
    <row r="778" spans="4:5" s="2" customFormat="1" x14ac:dyDescent="0.25">
      <c r="D778" s="166"/>
      <c r="E778" s="166"/>
    </row>
    <row r="779" spans="4:5" s="2" customFormat="1" x14ac:dyDescent="0.25">
      <c r="D779" s="166"/>
      <c r="E779" s="166"/>
    </row>
    <row r="780" spans="4:5" s="2" customFormat="1" x14ac:dyDescent="0.25">
      <c r="D780" s="166"/>
      <c r="E780" s="166"/>
    </row>
    <row r="781" spans="4:5" s="2" customFormat="1" x14ac:dyDescent="0.25">
      <c r="D781" s="166"/>
      <c r="E781" s="166"/>
    </row>
    <row r="782" spans="4:5" s="2" customFormat="1" x14ac:dyDescent="0.25">
      <c r="D782" s="166"/>
      <c r="E782" s="166"/>
    </row>
    <row r="783" spans="4:5" s="2" customFormat="1" x14ac:dyDescent="0.25">
      <c r="D783" s="166"/>
      <c r="E783" s="166"/>
    </row>
    <row r="784" spans="4:5" s="2" customFormat="1" x14ac:dyDescent="0.25">
      <c r="D784" s="166"/>
      <c r="E784" s="166"/>
    </row>
    <row r="785" spans="4:5" s="2" customFormat="1" x14ac:dyDescent="0.25">
      <c r="D785" s="166"/>
      <c r="E785" s="166"/>
    </row>
    <row r="786" spans="4:5" s="2" customFormat="1" x14ac:dyDescent="0.25">
      <c r="D786" s="166"/>
      <c r="E786" s="166"/>
    </row>
    <row r="787" spans="4:5" s="2" customFormat="1" x14ac:dyDescent="0.25">
      <c r="D787" s="166"/>
      <c r="E787" s="166"/>
    </row>
    <row r="788" spans="4:5" s="2" customFormat="1" x14ac:dyDescent="0.25">
      <c r="D788" s="166"/>
      <c r="E788" s="166"/>
    </row>
    <row r="789" spans="4:5" s="2" customFormat="1" x14ac:dyDescent="0.25">
      <c r="D789" s="166"/>
      <c r="E789" s="166"/>
    </row>
    <row r="790" spans="4:5" s="2" customFormat="1" x14ac:dyDescent="0.25">
      <c r="D790" s="166"/>
      <c r="E790" s="166"/>
    </row>
    <row r="791" spans="4:5" s="2" customFormat="1" x14ac:dyDescent="0.25">
      <c r="D791" s="166"/>
      <c r="E791" s="166"/>
    </row>
    <row r="792" spans="4:5" s="2" customFormat="1" x14ac:dyDescent="0.25">
      <c r="D792" s="166"/>
      <c r="E792" s="166"/>
    </row>
    <row r="793" spans="4:5" s="2" customFormat="1" x14ac:dyDescent="0.25">
      <c r="D793" s="166"/>
      <c r="E793" s="166"/>
    </row>
    <row r="794" spans="4:5" s="2" customFormat="1" x14ac:dyDescent="0.25">
      <c r="D794" s="166"/>
      <c r="E794" s="166"/>
    </row>
    <row r="795" spans="4:5" s="2" customFormat="1" x14ac:dyDescent="0.25">
      <c r="D795" s="166"/>
      <c r="E795" s="166"/>
    </row>
    <row r="796" spans="4:5" s="2" customFormat="1" x14ac:dyDescent="0.25">
      <c r="D796" s="166"/>
      <c r="E796" s="166"/>
    </row>
    <row r="797" spans="4:5" s="2" customFormat="1" x14ac:dyDescent="0.25">
      <c r="D797" s="166"/>
      <c r="E797" s="166"/>
    </row>
    <row r="798" spans="4:5" s="2" customFormat="1" x14ac:dyDescent="0.25">
      <c r="D798" s="166"/>
      <c r="E798" s="166"/>
    </row>
    <row r="799" spans="4:5" s="2" customFormat="1" x14ac:dyDescent="0.25">
      <c r="D799" s="166"/>
      <c r="E799" s="166"/>
    </row>
    <row r="800" spans="4:5" s="2" customFormat="1" x14ac:dyDescent="0.25">
      <c r="D800" s="166"/>
      <c r="E800" s="166"/>
    </row>
    <row r="801" spans="4:5" s="2" customFormat="1" x14ac:dyDescent="0.25">
      <c r="D801" s="166"/>
      <c r="E801" s="166"/>
    </row>
    <row r="802" spans="4:5" s="2" customFormat="1" x14ac:dyDescent="0.25">
      <c r="D802" s="166"/>
      <c r="E802" s="166"/>
    </row>
    <row r="803" spans="4:5" s="2" customFormat="1" x14ac:dyDescent="0.25">
      <c r="D803" s="166"/>
      <c r="E803" s="166"/>
    </row>
    <row r="804" spans="4:5" s="2" customFormat="1" x14ac:dyDescent="0.25">
      <c r="D804" s="166"/>
      <c r="E804" s="166"/>
    </row>
    <row r="805" spans="4:5" s="2" customFormat="1" x14ac:dyDescent="0.25">
      <c r="D805" s="166"/>
      <c r="E805" s="166"/>
    </row>
    <row r="806" spans="4:5" s="2" customFormat="1" x14ac:dyDescent="0.25">
      <c r="D806" s="166"/>
      <c r="E806" s="166"/>
    </row>
    <row r="807" spans="4:5" s="2" customFormat="1" x14ac:dyDescent="0.25">
      <c r="D807" s="166"/>
      <c r="E807" s="166"/>
    </row>
    <row r="808" spans="4:5" s="2" customFormat="1" x14ac:dyDescent="0.25">
      <c r="D808" s="166"/>
      <c r="E808" s="166"/>
    </row>
    <row r="809" spans="4:5" s="2" customFormat="1" x14ac:dyDescent="0.25">
      <c r="D809" s="166"/>
      <c r="E809" s="166"/>
    </row>
    <row r="810" spans="4:5" s="2" customFormat="1" x14ac:dyDescent="0.25">
      <c r="D810" s="166"/>
      <c r="E810" s="166"/>
    </row>
    <row r="811" spans="4:5" s="2" customFormat="1" x14ac:dyDescent="0.25">
      <c r="D811" s="166"/>
      <c r="E811" s="166"/>
    </row>
    <row r="812" spans="4:5" s="2" customFormat="1" x14ac:dyDescent="0.25">
      <c r="D812" s="166"/>
      <c r="E812" s="166"/>
    </row>
    <row r="813" spans="4:5" s="2" customFormat="1" x14ac:dyDescent="0.25">
      <c r="D813" s="166"/>
      <c r="E813" s="166"/>
    </row>
    <row r="814" spans="4:5" s="2" customFormat="1" x14ac:dyDescent="0.25">
      <c r="D814" s="166"/>
      <c r="E814" s="166"/>
    </row>
    <row r="815" spans="4:5" s="2" customFormat="1" x14ac:dyDescent="0.25">
      <c r="D815" s="166"/>
      <c r="E815" s="166"/>
    </row>
    <row r="816" spans="4:5" s="2" customFormat="1" x14ac:dyDescent="0.25">
      <c r="D816" s="166"/>
      <c r="E816" s="166"/>
    </row>
    <row r="817" spans="4:5" s="2" customFormat="1" x14ac:dyDescent="0.25">
      <c r="D817" s="166"/>
      <c r="E817" s="166"/>
    </row>
    <row r="818" spans="4:5" s="2" customFormat="1" x14ac:dyDescent="0.25">
      <c r="D818" s="166"/>
      <c r="E818" s="166"/>
    </row>
    <row r="819" spans="4:5" s="2" customFormat="1" x14ac:dyDescent="0.25">
      <c r="D819" s="166"/>
      <c r="E819" s="166"/>
    </row>
    <row r="820" spans="4:5" s="2" customFormat="1" x14ac:dyDescent="0.25">
      <c r="D820" s="166"/>
      <c r="E820" s="166"/>
    </row>
    <row r="821" spans="4:5" s="2" customFormat="1" x14ac:dyDescent="0.25">
      <c r="D821" s="166"/>
      <c r="E821" s="166"/>
    </row>
    <row r="822" spans="4:5" s="2" customFormat="1" x14ac:dyDescent="0.25">
      <c r="D822" s="166"/>
      <c r="E822" s="166"/>
    </row>
    <row r="823" spans="4:5" s="2" customFormat="1" x14ac:dyDescent="0.25">
      <c r="D823" s="166"/>
      <c r="E823" s="166"/>
    </row>
    <row r="824" spans="4:5" s="2" customFormat="1" x14ac:dyDescent="0.25">
      <c r="D824" s="166"/>
      <c r="E824" s="166"/>
    </row>
    <row r="825" spans="4:5" s="2" customFormat="1" x14ac:dyDescent="0.25">
      <c r="D825" s="166"/>
      <c r="E825" s="166"/>
    </row>
    <row r="826" spans="4:5" s="2" customFormat="1" x14ac:dyDescent="0.25">
      <c r="D826" s="166"/>
      <c r="E826" s="166"/>
    </row>
    <row r="827" spans="4:5" s="2" customFormat="1" x14ac:dyDescent="0.25">
      <c r="D827" s="166"/>
      <c r="E827" s="166"/>
    </row>
    <row r="828" spans="4:5" s="2" customFormat="1" x14ac:dyDescent="0.25">
      <c r="D828" s="166"/>
      <c r="E828" s="166"/>
    </row>
    <row r="829" spans="4:5" s="2" customFormat="1" x14ac:dyDescent="0.25">
      <c r="D829" s="166"/>
      <c r="E829" s="166"/>
    </row>
    <row r="830" spans="4:5" s="2" customFormat="1" x14ac:dyDescent="0.25">
      <c r="D830" s="166"/>
      <c r="E830" s="166"/>
    </row>
    <row r="831" spans="4:5" s="2" customFormat="1" x14ac:dyDescent="0.25">
      <c r="D831" s="166"/>
      <c r="E831" s="166"/>
    </row>
    <row r="832" spans="4:5" s="2" customFormat="1" x14ac:dyDescent="0.25">
      <c r="D832" s="166"/>
      <c r="E832" s="166"/>
    </row>
    <row r="833" spans="4:5" s="2" customFormat="1" x14ac:dyDescent="0.25">
      <c r="D833" s="166"/>
      <c r="E833" s="166"/>
    </row>
    <row r="834" spans="4:5" s="2" customFormat="1" x14ac:dyDescent="0.25">
      <c r="D834" s="166"/>
      <c r="E834" s="166"/>
    </row>
    <row r="835" spans="4:5" s="2" customFormat="1" x14ac:dyDescent="0.25">
      <c r="D835" s="166"/>
      <c r="E835" s="166"/>
    </row>
    <row r="836" spans="4:5" s="2" customFormat="1" x14ac:dyDescent="0.25">
      <c r="D836" s="166"/>
      <c r="E836" s="166"/>
    </row>
    <row r="837" spans="4:5" s="2" customFormat="1" x14ac:dyDescent="0.25">
      <c r="D837" s="166"/>
      <c r="E837" s="166"/>
    </row>
    <row r="838" spans="4:5" s="2" customFormat="1" x14ac:dyDescent="0.25">
      <c r="D838" s="166"/>
      <c r="E838" s="166"/>
    </row>
    <row r="839" spans="4:5" s="2" customFormat="1" x14ac:dyDescent="0.25">
      <c r="D839" s="166"/>
      <c r="E839" s="166"/>
    </row>
    <row r="840" spans="4:5" s="2" customFormat="1" x14ac:dyDescent="0.25">
      <c r="D840" s="166"/>
      <c r="E840" s="166"/>
    </row>
    <row r="841" spans="4:5" s="2" customFormat="1" x14ac:dyDescent="0.25">
      <c r="D841" s="166"/>
      <c r="E841" s="166"/>
    </row>
    <row r="842" spans="4:5" s="2" customFormat="1" x14ac:dyDescent="0.25">
      <c r="D842" s="166"/>
      <c r="E842" s="166"/>
    </row>
    <row r="843" spans="4:5" s="2" customFormat="1" x14ac:dyDescent="0.25">
      <c r="D843" s="166"/>
      <c r="E843" s="166"/>
    </row>
    <row r="844" spans="4:5" s="2" customFormat="1" x14ac:dyDescent="0.25">
      <c r="D844" s="166"/>
      <c r="E844" s="166"/>
    </row>
    <row r="845" spans="4:5" s="2" customFormat="1" x14ac:dyDescent="0.25">
      <c r="D845" s="166"/>
      <c r="E845" s="166"/>
    </row>
    <row r="846" spans="4:5" s="2" customFormat="1" x14ac:dyDescent="0.25">
      <c r="D846" s="166"/>
      <c r="E846" s="166"/>
    </row>
    <row r="847" spans="4:5" s="2" customFormat="1" x14ac:dyDescent="0.25">
      <c r="D847" s="166"/>
      <c r="E847" s="166"/>
    </row>
    <row r="848" spans="4:5" s="2" customFormat="1" x14ac:dyDescent="0.25">
      <c r="D848" s="166"/>
      <c r="E848" s="166"/>
    </row>
    <row r="849" spans="4:5" s="2" customFormat="1" x14ac:dyDescent="0.25">
      <c r="D849" s="166"/>
      <c r="E849" s="166"/>
    </row>
    <row r="850" spans="4:5" s="2" customFormat="1" x14ac:dyDescent="0.25">
      <c r="D850" s="166"/>
      <c r="E850" s="166"/>
    </row>
    <row r="851" spans="4:5" s="2" customFormat="1" x14ac:dyDescent="0.25">
      <c r="D851" s="166"/>
      <c r="E851" s="166"/>
    </row>
    <row r="852" spans="4:5" s="2" customFormat="1" x14ac:dyDescent="0.25">
      <c r="D852" s="166"/>
      <c r="E852" s="166"/>
    </row>
    <row r="853" spans="4:5" s="2" customFormat="1" x14ac:dyDescent="0.25">
      <c r="D853" s="166"/>
      <c r="E853" s="166"/>
    </row>
    <row r="854" spans="4:5" s="2" customFormat="1" x14ac:dyDescent="0.25">
      <c r="D854" s="166"/>
      <c r="E854" s="166"/>
    </row>
    <row r="855" spans="4:5" s="2" customFormat="1" x14ac:dyDescent="0.25">
      <c r="D855" s="166"/>
      <c r="E855" s="166"/>
    </row>
    <row r="856" spans="4:5" s="2" customFormat="1" x14ac:dyDescent="0.25">
      <c r="D856" s="166"/>
      <c r="E856" s="166"/>
    </row>
    <row r="857" spans="4:5" s="2" customFormat="1" x14ac:dyDescent="0.25">
      <c r="D857" s="166"/>
      <c r="E857" s="166"/>
    </row>
    <row r="858" spans="4:5" s="2" customFormat="1" x14ac:dyDescent="0.25">
      <c r="D858" s="166"/>
      <c r="E858" s="166"/>
    </row>
    <row r="859" spans="4:5" s="2" customFormat="1" x14ac:dyDescent="0.25">
      <c r="D859" s="166"/>
      <c r="E859" s="166"/>
    </row>
    <row r="860" spans="4:5" s="2" customFormat="1" x14ac:dyDescent="0.25">
      <c r="D860" s="166"/>
      <c r="E860" s="166"/>
    </row>
    <row r="861" spans="4:5" s="2" customFormat="1" x14ac:dyDescent="0.25">
      <c r="D861" s="166"/>
      <c r="E861" s="166"/>
    </row>
    <row r="862" spans="4:5" s="2" customFormat="1" x14ac:dyDescent="0.25">
      <c r="D862" s="166"/>
      <c r="E862" s="166"/>
    </row>
    <row r="863" spans="4:5" s="2" customFormat="1" x14ac:dyDescent="0.25">
      <c r="D863" s="166"/>
      <c r="E863" s="166"/>
    </row>
    <row r="864" spans="4:5" s="2" customFormat="1" x14ac:dyDescent="0.25">
      <c r="D864" s="166"/>
      <c r="E864" s="166"/>
    </row>
    <row r="865" spans="4:5" s="2" customFormat="1" x14ac:dyDescent="0.25">
      <c r="D865" s="166"/>
      <c r="E865" s="166"/>
    </row>
    <row r="866" spans="4:5" s="2" customFormat="1" x14ac:dyDescent="0.25">
      <c r="D866" s="166"/>
      <c r="E866" s="166"/>
    </row>
    <row r="867" spans="4:5" s="2" customFormat="1" x14ac:dyDescent="0.25">
      <c r="D867" s="166"/>
      <c r="E867" s="166"/>
    </row>
    <row r="868" spans="4:5" s="2" customFormat="1" x14ac:dyDescent="0.25">
      <c r="D868" s="166"/>
      <c r="E868" s="166"/>
    </row>
    <row r="869" spans="4:5" s="2" customFormat="1" x14ac:dyDescent="0.25">
      <c r="D869" s="166"/>
      <c r="E869" s="166"/>
    </row>
    <row r="870" spans="4:5" s="2" customFormat="1" x14ac:dyDescent="0.25">
      <c r="D870" s="166"/>
      <c r="E870" s="166"/>
    </row>
    <row r="871" spans="4:5" s="2" customFormat="1" x14ac:dyDescent="0.25">
      <c r="D871" s="166"/>
      <c r="E871" s="166"/>
    </row>
    <row r="872" spans="4:5" s="2" customFormat="1" x14ac:dyDescent="0.25">
      <c r="D872" s="166"/>
      <c r="E872" s="166"/>
    </row>
    <row r="873" spans="4:5" s="2" customFormat="1" x14ac:dyDescent="0.25">
      <c r="D873" s="166"/>
      <c r="E873" s="166"/>
    </row>
    <row r="874" spans="4:5" s="2" customFormat="1" x14ac:dyDescent="0.25">
      <c r="D874" s="166"/>
      <c r="E874" s="166"/>
    </row>
    <row r="875" spans="4:5" s="2" customFormat="1" x14ac:dyDescent="0.25">
      <c r="D875" s="166"/>
      <c r="E875" s="166"/>
    </row>
    <row r="876" spans="4:5" s="2" customFormat="1" x14ac:dyDescent="0.25">
      <c r="D876" s="166"/>
      <c r="E876" s="166"/>
    </row>
    <row r="877" spans="4:5" s="2" customFormat="1" x14ac:dyDescent="0.25">
      <c r="D877" s="166"/>
      <c r="E877" s="166"/>
    </row>
    <row r="878" spans="4:5" s="2" customFormat="1" x14ac:dyDescent="0.25">
      <c r="D878" s="166"/>
      <c r="E878" s="166"/>
    </row>
    <row r="879" spans="4:5" s="2" customFormat="1" x14ac:dyDescent="0.25">
      <c r="D879" s="166"/>
      <c r="E879" s="166"/>
    </row>
    <row r="880" spans="4:5" s="2" customFormat="1" x14ac:dyDescent="0.25">
      <c r="D880" s="166"/>
      <c r="E880" s="166"/>
    </row>
    <row r="881" spans="4:5" s="2" customFormat="1" x14ac:dyDescent="0.25">
      <c r="D881" s="166"/>
      <c r="E881" s="166"/>
    </row>
    <row r="882" spans="4:5" s="2" customFormat="1" x14ac:dyDescent="0.25">
      <c r="D882" s="166"/>
      <c r="E882" s="166"/>
    </row>
    <row r="883" spans="4:5" s="2" customFormat="1" x14ac:dyDescent="0.25">
      <c r="D883" s="166"/>
      <c r="E883" s="166"/>
    </row>
    <row r="884" spans="4:5" s="2" customFormat="1" x14ac:dyDescent="0.25">
      <c r="D884" s="166"/>
      <c r="E884" s="166"/>
    </row>
    <row r="885" spans="4:5" s="2" customFormat="1" x14ac:dyDescent="0.25">
      <c r="D885" s="166"/>
      <c r="E885" s="166"/>
    </row>
    <row r="886" spans="4:5" s="2" customFormat="1" x14ac:dyDescent="0.25">
      <c r="D886" s="166"/>
      <c r="E886" s="166"/>
    </row>
    <row r="887" spans="4:5" s="2" customFormat="1" x14ac:dyDescent="0.25">
      <c r="D887" s="166"/>
      <c r="E887" s="166"/>
    </row>
    <row r="888" spans="4:5" s="2" customFormat="1" x14ac:dyDescent="0.25">
      <c r="D888" s="166"/>
      <c r="E888" s="166"/>
    </row>
    <row r="889" spans="4:5" s="2" customFormat="1" x14ac:dyDescent="0.25">
      <c r="D889" s="166"/>
      <c r="E889" s="166"/>
    </row>
    <row r="890" spans="4:5" s="2" customFormat="1" x14ac:dyDescent="0.25">
      <c r="D890" s="166"/>
      <c r="E890" s="166"/>
    </row>
    <row r="891" spans="4:5" s="2" customFormat="1" x14ac:dyDescent="0.25">
      <c r="D891" s="166"/>
      <c r="E891" s="166"/>
    </row>
    <row r="892" spans="4:5" s="2" customFormat="1" x14ac:dyDescent="0.25">
      <c r="D892" s="166"/>
      <c r="E892" s="166"/>
    </row>
    <row r="893" spans="4:5" s="2" customFormat="1" x14ac:dyDescent="0.25">
      <c r="D893" s="166"/>
      <c r="E893" s="166"/>
    </row>
    <row r="894" spans="4:5" s="2" customFormat="1" x14ac:dyDescent="0.25">
      <c r="D894" s="166"/>
      <c r="E894" s="166"/>
    </row>
    <row r="895" spans="4:5" s="2" customFormat="1" x14ac:dyDescent="0.25">
      <c r="D895" s="166"/>
      <c r="E895" s="166"/>
    </row>
    <row r="896" spans="4:5" s="2" customFormat="1" x14ac:dyDescent="0.25">
      <c r="D896" s="166"/>
      <c r="E896" s="166"/>
    </row>
    <row r="897" spans="4:5" s="2" customFormat="1" x14ac:dyDescent="0.25">
      <c r="D897" s="166"/>
      <c r="E897" s="166"/>
    </row>
    <row r="898" spans="4:5" s="2" customFormat="1" x14ac:dyDescent="0.25">
      <c r="D898" s="166"/>
      <c r="E898" s="166"/>
    </row>
    <row r="899" spans="4:5" s="2" customFormat="1" x14ac:dyDescent="0.25">
      <c r="D899" s="166"/>
      <c r="E899" s="166"/>
    </row>
    <row r="900" spans="4:5" s="2" customFormat="1" x14ac:dyDescent="0.25">
      <c r="D900" s="166"/>
      <c r="E900" s="166"/>
    </row>
    <row r="901" spans="4:5" s="2" customFormat="1" x14ac:dyDescent="0.25">
      <c r="D901" s="166"/>
      <c r="E901" s="166"/>
    </row>
    <row r="902" spans="4:5" s="2" customFormat="1" x14ac:dyDescent="0.25">
      <c r="D902" s="166"/>
      <c r="E902" s="166"/>
    </row>
    <row r="903" spans="4:5" s="2" customFormat="1" x14ac:dyDescent="0.25">
      <c r="D903" s="166"/>
      <c r="E903" s="166"/>
    </row>
    <row r="904" spans="4:5" s="2" customFormat="1" x14ac:dyDescent="0.25">
      <c r="D904" s="166"/>
      <c r="E904" s="166"/>
    </row>
    <row r="905" spans="4:5" s="2" customFormat="1" x14ac:dyDescent="0.25">
      <c r="D905" s="166"/>
      <c r="E905" s="166"/>
    </row>
    <row r="906" spans="4:5" s="2" customFormat="1" x14ac:dyDescent="0.25">
      <c r="D906" s="166"/>
      <c r="E906" s="166"/>
    </row>
    <row r="907" spans="4:5" s="2" customFormat="1" x14ac:dyDescent="0.25">
      <c r="D907" s="166"/>
      <c r="E907" s="166"/>
    </row>
    <row r="908" spans="4:5" s="2" customFormat="1" x14ac:dyDescent="0.25">
      <c r="D908" s="166"/>
      <c r="E908" s="166"/>
    </row>
    <row r="909" spans="4:5" s="2" customFormat="1" x14ac:dyDescent="0.25">
      <c r="D909" s="166"/>
      <c r="E909" s="166"/>
    </row>
    <row r="910" spans="4:5" s="2" customFormat="1" x14ac:dyDescent="0.25">
      <c r="D910" s="166"/>
      <c r="E910" s="166"/>
    </row>
    <row r="911" spans="4:5" s="2" customFormat="1" x14ac:dyDescent="0.25">
      <c r="D911" s="166"/>
      <c r="E911" s="166"/>
    </row>
    <row r="912" spans="4:5" s="2" customFormat="1" x14ac:dyDescent="0.25">
      <c r="D912" s="166"/>
      <c r="E912" s="166"/>
    </row>
    <row r="913" spans="4:5" s="2" customFormat="1" x14ac:dyDescent="0.25">
      <c r="D913" s="166"/>
      <c r="E913" s="166"/>
    </row>
    <row r="914" spans="4:5" s="2" customFormat="1" x14ac:dyDescent="0.25">
      <c r="D914" s="166"/>
      <c r="E914" s="166"/>
    </row>
    <row r="915" spans="4:5" s="2" customFormat="1" x14ac:dyDescent="0.25">
      <c r="D915" s="166"/>
      <c r="E915" s="166"/>
    </row>
    <row r="916" spans="4:5" s="2" customFormat="1" x14ac:dyDescent="0.25">
      <c r="D916" s="166"/>
      <c r="E916" s="166"/>
    </row>
    <row r="917" spans="4:5" s="2" customFormat="1" x14ac:dyDescent="0.25">
      <c r="D917" s="166"/>
      <c r="E917" s="166"/>
    </row>
    <row r="918" spans="4:5" s="2" customFormat="1" x14ac:dyDescent="0.25">
      <c r="D918" s="166"/>
      <c r="E918" s="166"/>
    </row>
    <row r="919" spans="4:5" s="2" customFormat="1" x14ac:dyDescent="0.25">
      <c r="D919" s="166"/>
      <c r="E919" s="166"/>
    </row>
    <row r="920" spans="4:5" s="2" customFormat="1" x14ac:dyDescent="0.25">
      <c r="D920" s="166"/>
      <c r="E920" s="166"/>
    </row>
    <row r="921" spans="4:5" s="2" customFormat="1" x14ac:dyDescent="0.25">
      <c r="D921" s="166"/>
      <c r="E921" s="166"/>
    </row>
    <row r="922" spans="4:5" s="2" customFormat="1" x14ac:dyDescent="0.25">
      <c r="D922" s="166"/>
      <c r="E922" s="166"/>
    </row>
    <row r="923" spans="4:5" s="2" customFormat="1" x14ac:dyDescent="0.25">
      <c r="D923" s="166"/>
      <c r="E923" s="166"/>
    </row>
    <row r="924" spans="4:5" s="2" customFormat="1" x14ac:dyDescent="0.25">
      <c r="D924" s="166"/>
      <c r="E924" s="166"/>
    </row>
    <row r="925" spans="4:5" s="2" customFormat="1" x14ac:dyDescent="0.25">
      <c r="D925" s="166"/>
      <c r="E925" s="166"/>
    </row>
    <row r="926" spans="4:5" s="2" customFormat="1" x14ac:dyDescent="0.25">
      <c r="D926" s="166"/>
      <c r="E926" s="166"/>
    </row>
    <row r="927" spans="4:5" s="2" customFormat="1" x14ac:dyDescent="0.25">
      <c r="D927" s="166"/>
      <c r="E927" s="166"/>
    </row>
    <row r="928" spans="4:5" s="2" customFormat="1" x14ac:dyDescent="0.25">
      <c r="D928" s="166"/>
      <c r="E928" s="166"/>
    </row>
    <row r="929" spans="4:5" s="2" customFormat="1" x14ac:dyDescent="0.25">
      <c r="D929" s="166"/>
      <c r="E929" s="166"/>
    </row>
    <row r="930" spans="4:5" s="2" customFormat="1" x14ac:dyDescent="0.25">
      <c r="D930" s="166"/>
      <c r="E930" s="166"/>
    </row>
    <row r="931" spans="4:5" s="2" customFormat="1" x14ac:dyDescent="0.25">
      <c r="D931" s="166"/>
      <c r="E931" s="166"/>
    </row>
    <row r="932" spans="4:5" s="2" customFormat="1" x14ac:dyDescent="0.25">
      <c r="D932" s="166"/>
      <c r="E932" s="166"/>
    </row>
    <row r="933" spans="4:5" s="2" customFormat="1" x14ac:dyDescent="0.25">
      <c r="D933" s="166"/>
      <c r="E933" s="166"/>
    </row>
    <row r="934" spans="4:5" s="2" customFormat="1" x14ac:dyDescent="0.25">
      <c r="D934" s="166"/>
      <c r="E934" s="166"/>
    </row>
    <row r="935" spans="4:5" s="2" customFormat="1" x14ac:dyDescent="0.25">
      <c r="D935" s="166"/>
      <c r="E935" s="166"/>
    </row>
    <row r="936" spans="4:5" s="2" customFormat="1" x14ac:dyDescent="0.25">
      <c r="D936" s="166"/>
      <c r="E936" s="166"/>
    </row>
    <row r="937" spans="4:5" s="2" customFormat="1" x14ac:dyDescent="0.25">
      <c r="D937" s="166"/>
      <c r="E937" s="166"/>
    </row>
    <row r="938" spans="4:5" s="2" customFormat="1" x14ac:dyDescent="0.25">
      <c r="D938" s="166"/>
      <c r="E938" s="166"/>
    </row>
    <row r="939" spans="4:5" s="2" customFormat="1" x14ac:dyDescent="0.25">
      <c r="D939" s="166"/>
      <c r="E939" s="166"/>
    </row>
    <row r="940" spans="4:5" s="2" customFormat="1" x14ac:dyDescent="0.25">
      <c r="D940" s="166"/>
      <c r="E940" s="166"/>
    </row>
    <row r="941" spans="4:5" s="2" customFormat="1" x14ac:dyDescent="0.25">
      <c r="D941" s="166"/>
      <c r="E941" s="166"/>
    </row>
    <row r="942" spans="4:5" s="2" customFormat="1" x14ac:dyDescent="0.25">
      <c r="D942" s="166"/>
      <c r="E942" s="166"/>
    </row>
    <row r="943" spans="4:5" s="2" customFormat="1" x14ac:dyDescent="0.25">
      <c r="D943" s="166"/>
      <c r="E943" s="166"/>
    </row>
    <row r="944" spans="4:5" s="2" customFormat="1" x14ac:dyDescent="0.25">
      <c r="D944" s="166"/>
      <c r="E944" s="166"/>
    </row>
    <row r="945" spans="4:5" s="2" customFormat="1" x14ac:dyDescent="0.25">
      <c r="D945" s="166"/>
      <c r="E945" s="166"/>
    </row>
    <row r="946" spans="4:5" s="2" customFormat="1" x14ac:dyDescent="0.25">
      <c r="D946" s="166"/>
      <c r="E946" s="166"/>
    </row>
    <row r="947" spans="4:5" s="2" customFormat="1" x14ac:dyDescent="0.25">
      <c r="D947" s="166"/>
      <c r="E947" s="166"/>
    </row>
    <row r="948" spans="4:5" s="2" customFormat="1" x14ac:dyDescent="0.25">
      <c r="D948" s="166"/>
      <c r="E948" s="166"/>
    </row>
    <row r="949" spans="4:5" s="2" customFormat="1" x14ac:dyDescent="0.25">
      <c r="D949" s="166"/>
      <c r="E949" s="166"/>
    </row>
    <row r="950" spans="4:5" s="2" customFormat="1" x14ac:dyDescent="0.25">
      <c r="D950" s="166"/>
      <c r="E950" s="166"/>
    </row>
    <row r="951" spans="4:5" s="2" customFormat="1" x14ac:dyDescent="0.25">
      <c r="D951" s="166"/>
      <c r="E951" s="166"/>
    </row>
    <row r="952" spans="4:5" s="2" customFormat="1" x14ac:dyDescent="0.25">
      <c r="D952" s="166"/>
      <c r="E952" s="166"/>
    </row>
    <row r="953" spans="4:5" s="2" customFormat="1" x14ac:dyDescent="0.25">
      <c r="D953" s="166"/>
      <c r="E953" s="166"/>
    </row>
    <row r="954" spans="4:5" s="2" customFormat="1" x14ac:dyDescent="0.25">
      <c r="D954" s="166"/>
      <c r="E954" s="166"/>
    </row>
    <row r="955" spans="4:5" s="2" customFormat="1" x14ac:dyDescent="0.25">
      <c r="D955" s="166"/>
      <c r="E955" s="166"/>
    </row>
    <row r="956" spans="4:5" s="2" customFormat="1" x14ac:dyDescent="0.25">
      <c r="D956" s="166"/>
      <c r="E956" s="166"/>
    </row>
    <row r="957" spans="4:5" s="2" customFormat="1" x14ac:dyDescent="0.25">
      <c r="D957" s="166"/>
      <c r="E957" s="166"/>
    </row>
    <row r="958" spans="4:5" s="2" customFormat="1" x14ac:dyDescent="0.25">
      <c r="D958" s="166"/>
      <c r="E958" s="166"/>
    </row>
    <row r="959" spans="4:5" s="2" customFormat="1" x14ac:dyDescent="0.25">
      <c r="D959" s="166"/>
      <c r="E959" s="166"/>
    </row>
    <row r="960" spans="4:5" s="2" customFormat="1" x14ac:dyDescent="0.25">
      <c r="D960" s="166"/>
      <c r="E960" s="166"/>
    </row>
    <row r="961" spans="4:5" s="2" customFormat="1" x14ac:dyDescent="0.25">
      <c r="D961" s="166"/>
      <c r="E961" s="166"/>
    </row>
    <row r="962" spans="4:5" s="2" customFormat="1" x14ac:dyDescent="0.25">
      <c r="D962" s="166"/>
      <c r="E962" s="166"/>
    </row>
    <row r="963" spans="4:5" s="2" customFormat="1" x14ac:dyDescent="0.25">
      <c r="D963" s="166"/>
      <c r="E963" s="166"/>
    </row>
    <row r="964" spans="4:5" s="2" customFormat="1" x14ac:dyDescent="0.25">
      <c r="D964" s="166"/>
      <c r="E964" s="166"/>
    </row>
    <row r="965" spans="4:5" s="2" customFormat="1" x14ac:dyDescent="0.25">
      <c r="D965" s="166"/>
      <c r="E965" s="166"/>
    </row>
    <row r="966" spans="4:5" s="2" customFormat="1" x14ac:dyDescent="0.25">
      <c r="D966" s="166"/>
      <c r="E966" s="166"/>
    </row>
    <row r="967" spans="4:5" s="2" customFormat="1" x14ac:dyDescent="0.25">
      <c r="D967" s="166"/>
      <c r="E967" s="166"/>
    </row>
    <row r="968" spans="4:5" s="2" customFormat="1" x14ac:dyDescent="0.25">
      <c r="D968" s="166"/>
      <c r="E968" s="166"/>
    </row>
    <row r="969" spans="4:5" s="2" customFormat="1" x14ac:dyDescent="0.25">
      <c r="D969" s="166"/>
      <c r="E969" s="166"/>
    </row>
    <row r="970" spans="4:5" s="2" customFormat="1" x14ac:dyDescent="0.25">
      <c r="D970" s="166"/>
      <c r="E970" s="166"/>
    </row>
    <row r="971" spans="4:5" s="2" customFormat="1" x14ac:dyDescent="0.25">
      <c r="D971" s="166"/>
      <c r="E971" s="166"/>
    </row>
    <row r="972" spans="4:5" s="2" customFormat="1" x14ac:dyDescent="0.25">
      <c r="D972" s="166"/>
      <c r="E972" s="166"/>
    </row>
    <row r="973" spans="4:5" s="2" customFormat="1" x14ac:dyDescent="0.25">
      <c r="D973" s="166"/>
      <c r="E973" s="166"/>
    </row>
    <row r="974" spans="4:5" s="2" customFormat="1" x14ac:dyDescent="0.25">
      <c r="D974" s="166"/>
      <c r="E974" s="166"/>
    </row>
    <row r="975" spans="4:5" s="2" customFormat="1" x14ac:dyDescent="0.25">
      <c r="D975" s="166"/>
      <c r="E975" s="166"/>
    </row>
    <row r="976" spans="4:5" s="2" customFormat="1" x14ac:dyDescent="0.25">
      <c r="D976" s="166"/>
      <c r="E976" s="166"/>
    </row>
    <row r="977" spans="4:5" s="2" customFormat="1" x14ac:dyDescent="0.25">
      <c r="D977" s="166"/>
      <c r="E977" s="166"/>
    </row>
    <row r="978" spans="4:5" s="2" customFormat="1" x14ac:dyDescent="0.25">
      <c r="D978" s="166"/>
      <c r="E978" s="166"/>
    </row>
    <row r="979" spans="4:5" s="2" customFormat="1" x14ac:dyDescent="0.25">
      <c r="D979" s="166"/>
      <c r="E979" s="166"/>
    </row>
    <row r="980" spans="4:5" s="2" customFormat="1" x14ac:dyDescent="0.25">
      <c r="D980" s="166"/>
      <c r="E980" s="166"/>
    </row>
    <row r="981" spans="4:5" s="2" customFormat="1" x14ac:dyDescent="0.25">
      <c r="D981" s="166"/>
      <c r="E981" s="166"/>
    </row>
    <row r="982" spans="4:5" s="2" customFormat="1" x14ac:dyDescent="0.25">
      <c r="D982" s="166"/>
      <c r="E982" s="166"/>
    </row>
    <row r="983" spans="4:5" s="2" customFormat="1" x14ac:dyDescent="0.25">
      <c r="D983" s="166"/>
      <c r="E983" s="166"/>
    </row>
    <row r="984" spans="4:5" s="2" customFormat="1" x14ac:dyDescent="0.25">
      <c r="D984" s="166"/>
      <c r="E984" s="166"/>
    </row>
    <row r="985" spans="4:5" s="2" customFormat="1" x14ac:dyDescent="0.25">
      <c r="D985" s="166"/>
      <c r="E985" s="166"/>
    </row>
    <row r="986" spans="4:5" s="2" customFormat="1" x14ac:dyDescent="0.25">
      <c r="D986" s="166"/>
      <c r="E986" s="166"/>
    </row>
    <row r="987" spans="4:5" s="2" customFormat="1" x14ac:dyDescent="0.25">
      <c r="D987" s="166"/>
      <c r="E987" s="166"/>
    </row>
    <row r="988" spans="4:5" s="2" customFormat="1" x14ac:dyDescent="0.25">
      <c r="D988" s="166"/>
      <c r="E988" s="166"/>
    </row>
    <row r="989" spans="4:5" s="2" customFormat="1" x14ac:dyDescent="0.25">
      <c r="D989" s="166"/>
      <c r="E989" s="166"/>
    </row>
    <row r="990" spans="4:5" s="2" customFormat="1" x14ac:dyDescent="0.25">
      <c r="D990" s="166"/>
      <c r="E990" s="166"/>
    </row>
    <row r="991" spans="4:5" s="2" customFormat="1" x14ac:dyDescent="0.25">
      <c r="D991" s="166"/>
      <c r="E991" s="166"/>
    </row>
    <row r="992" spans="4:5" s="2" customFormat="1" x14ac:dyDescent="0.25">
      <c r="D992" s="166"/>
      <c r="E992" s="166"/>
    </row>
    <row r="993" spans="4:5" s="2" customFormat="1" x14ac:dyDescent="0.25">
      <c r="D993" s="166"/>
      <c r="E993" s="166"/>
    </row>
    <row r="994" spans="4:5" s="2" customFormat="1" x14ac:dyDescent="0.25">
      <c r="D994" s="166"/>
      <c r="E994" s="166"/>
    </row>
    <row r="995" spans="4:5" s="2" customFormat="1" x14ac:dyDescent="0.25">
      <c r="D995" s="166"/>
      <c r="E995" s="166"/>
    </row>
    <row r="996" spans="4:5" s="2" customFormat="1" x14ac:dyDescent="0.25">
      <c r="D996" s="166"/>
      <c r="E996" s="166"/>
    </row>
    <row r="997" spans="4:5" s="2" customFormat="1" x14ac:dyDescent="0.25">
      <c r="D997" s="166"/>
      <c r="E997" s="166"/>
    </row>
    <row r="998" spans="4:5" s="2" customFormat="1" x14ac:dyDescent="0.25">
      <c r="D998" s="166"/>
      <c r="E998" s="166"/>
    </row>
    <row r="999" spans="4:5" s="2" customFormat="1" x14ac:dyDescent="0.25">
      <c r="D999" s="166"/>
      <c r="E999" s="166"/>
    </row>
    <row r="1000" spans="4:5" s="2" customFormat="1" x14ac:dyDescent="0.25">
      <c r="D1000" s="166"/>
      <c r="E1000" s="166"/>
    </row>
    <row r="1001" spans="4:5" s="2" customFormat="1" x14ac:dyDescent="0.25">
      <c r="D1001" s="166"/>
      <c r="E1001" s="166"/>
    </row>
    <row r="1002" spans="4:5" s="2" customFormat="1" x14ac:dyDescent="0.25">
      <c r="D1002" s="166"/>
      <c r="E1002" s="166"/>
    </row>
    <row r="1003" spans="4:5" s="2" customFormat="1" x14ac:dyDescent="0.25">
      <c r="D1003" s="166"/>
      <c r="E1003" s="166"/>
    </row>
    <row r="1004" spans="4:5" s="2" customFormat="1" x14ac:dyDescent="0.25">
      <c r="D1004" s="166"/>
      <c r="E1004" s="166"/>
    </row>
    <row r="1005" spans="4:5" s="2" customFormat="1" x14ac:dyDescent="0.25">
      <c r="D1005" s="166"/>
      <c r="E1005" s="166"/>
    </row>
    <row r="1006" spans="4:5" s="2" customFormat="1" x14ac:dyDescent="0.25">
      <c r="D1006" s="166"/>
      <c r="E1006" s="166"/>
    </row>
    <row r="1007" spans="4:5" s="2" customFormat="1" x14ac:dyDescent="0.25">
      <c r="D1007" s="166"/>
      <c r="E1007" s="166"/>
    </row>
    <row r="1008" spans="4:5" s="2" customFormat="1" x14ac:dyDescent="0.25">
      <c r="D1008" s="166"/>
      <c r="E1008" s="166"/>
    </row>
    <row r="1009" spans="4:5" s="2" customFormat="1" x14ac:dyDescent="0.25">
      <c r="D1009" s="166"/>
      <c r="E1009" s="166"/>
    </row>
    <row r="1010" spans="4:5" s="2" customFormat="1" x14ac:dyDescent="0.25">
      <c r="D1010" s="166"/>
      <c r="E1010" s="166"/>
    </row>
    <row r="1011" spans="4:5" s="2" customFormat="1" x14ac:dyDescent="0.25">
      <c r="D1011" s="166"/>
      <c r="E1011" s="166"/>
    </row>
    <row r="1012" spans="4:5" s="2" customFormat="1" x14ac:dyDescent="0.25">
      <c r="D1012" s="166"/>
      <c r="E1012" s="166"/>
    </row>
    <row r="1013" spans="4:5" s="2" customFormat="1" x14ac:dyDescent="0.25">
      <c r="D1013" s="166"/>
      <c r="E1013" s="166"/>
    </row>
    <row r="1014" spans="4:5" s="2" customFormat="1" x14ac:dyDescent="0.25">
      <c r="D1014" s="166"/>
      <c r="E1014" s="166"/>
    </row>
    <row r="1015" spans="4:5" s="2" customFormat="1" x14ac:dyDescent="0.25">
      <c r="D1015" s="166"/>
      <c r="E1015" s="166"/>
    </row>
    <row r="1016" spans="4:5" s="2" customFormat="1" x14ac:dyDescent="0.25">
      <c r="D1016" s="166"/>
      <c r="E1016" s="166"/>
    </row>
    <row r="1017" spans="4:5" s="2" customFormat="1" x14ac:dyDescent="0.25">
      <c r="D1017" s="166"/>
      <c r="E1017" s="166"/>
    </row>
    <row r="1018" spans="4:5" s="2" customFormat="1" x14ac:dyDescent="0.25">
      <c r="D1018" s="166"/>
      <c r="E1018" s="166"/>
    </row>
    <row r="1019" spans="4:5" s="2" customFormat="1" x14ac:dyDescent="0.25">
      <c r="D1019" s="166"/>
      <c r="E1019" s="166"/>
    </row>
    <row r="1020" spans="4:5" s="2" customFormat="1" x14ac:dyDescent="0.25">
      <c r="D1020" s="166"/>
      <c r="E1020" s="166"/>
    </row>
    <row r="1021" spans="4:5" s="2" customFormat="1" x14ac:dyDescent="0.25">
      <c r="D1021" s="166"/>
      <c r="E1021" s="166"/>
    </row>
    <row r="1022" spans="4:5" s="2" customFormat="1" x14ac:dyDescent="0.25">
      <c r="D1022" s="166"/>
      <c r="E1022" s="166"/>
    </row>
    <row r="1023" spans="4:5" s="2" customFormat="1" x14ac:dyDescent="0.25">
      <c r="D1023" s="166"/>
      <c r="E1023" s="166"/>
    </row>
    <row r="1024" spans="4:5" s="2" customFormat="1" x14ac:dyDescent="0.25">
      <c r="D1024" s="166"/>
      <c r="E1024" s="166"/>
    </row>
    <row r="1025" spans="4:5" s="2" customFormat="1" x14ac:dyDescent="0.25">
      <c r="D1025" s="166"/>
      <c r="E1025" s="166"/>
    </row>
    <row r="1026" spans="4:5" s="2" customFormat="1" x14ac:dyDescent="0.25">
      <c r="D1026" s="166"/>
      <c r="E1026" s="166"/>
    </row>
    <row r="1027" spans="4:5" s="2" customFormat="1" x14ac:dyDescent="0.25">
      <c r="D1027" s="166"/>
      <c r="E1027" s="166"/>
    </row>
    <row r="1028" spans="4:5" s="2" customFormat="1" x14ac:dyDescent="0.25">
      <c r="D1028" s="166"/>
      <c r="E1028" s="166"/>
    </row>
    <row r="1029" spans="4:5" s="2" customFormat="1" x14ac:dyDescent="0.25">
      <c r="D1029" s="166"/>
      <c r="E1029" s="166"/>
    </row>
    <row r="1030" spans="4:5" s="2" customFormat="1" x14ac:dyDescent="0.25">
      <c r="D1030" s="166"/>
      <c r="E1030" s="166"/>
    </row>
    <row r="1031" spans="4:5" s="2" customFormat="1" x14ac:dyDescent="0.25">
      <c r="D1031" s="166"/>
      <c r="E1031" s="166"/>
    </row>
    <row r="1032" spans="4:5" s="2" customFormat="1" x14ac:dyDescent="0.25">
      <c r="D1032" s="166"/>
      <c r="E1032" s="166"/>
    </row>
    <row r="1033" spans="4:5" s="2" customFormat="1" x14ac:dyDescent="0.25">
      <c r="D1033" s="166"/>
      <c r="E1033" s="166"/>
    </row>
    <row r="1034" spans="4:5" s="2" customFormat="1" x14ac:dyDescent="0.25">
      <c r="D1034" s="166"/>
      <c r="E1034" s="166"/>
    </row>
    <row r="1035" spans="4:5" s="2" customFormat="1" x14ac:dyDescent="0.25">
      <c r="D1035" s="166"/>
      <c r="E1035" s="166"/>
    </row>
    <row r="1036" spans="4:5" s="2" customFormat="1" x14ac:dyDescent="0.25">
      <c r="D1036" s="166"/>
      <c r="E1036" s="166"/>
    </row>
    <row r="1037" spans="4:5" s="2" customFormat="1" x14ac:dyDescent="0.25">
      <c r="D1037" s="166"/>
      <c r="E1037" s="166"/>
    </row>
    <row r="1038" spans="4:5" s="2" customFormat="1" x14ac:dyDescent="0.25">
      <c r="D1038" s="166"/>
      <c r="E1038" s="166"/>
    </row>
    <row r="1039" spans="4:5" s="2" customFormat="1" x14ac:dyDescent="0.25">
      <c r="D1039" s="166"/>
      <c r="E1039" s="166"/>
    </row>
    <row r="1040" spans="4:5" s="2" customFormat="1" x14ac:dyDescent="0.25">
      <c r="D1040" s="166"/>
      <c r="E1040" s="166"/>
    </row>
    <row r="1041" spans="4:5" s="2" customFormat="1" x14ac:dyDescent="0.25">
      <c r="D1041" s="166"/>
      <c r="E1041" s="166"/>
    </row>
    <row r="1042" spans="4:5" s="2" customFormat="1" x14ac:dyDescent="0.25">
      <c r="D1042" s="166"/>
      <c r="E1042" s="166"/>
    </row>
    <row r="1043" spans="4:5" s="2" customFormat="1" x14ac:dyDescent="0.25">
      <c r="D1043" s="166"/>
      <c r="E1043" s="166"/>
    </row>
    <row r="1044" spans="4:5" s="2" customFormat="1" x14ac:dyDescent="0.25">
      <c r="D1044" s="166"/>
      <c r="E1044" s="166"/>
    </row>
    <row r="1045" spans="4:5" s="2" customFormat="1" x14ac:dyDescent="0.25">
      <c r="D1045" s="166"/>
      <c r="E1045" s="166"/>
    </row>
    <row r="1046" spans="4:5" s="2" customFormat="1" x14ac:dyDescent="0.25">
      <c r="D1046" s="166"/>
      <c r="E1046" s="166"/>
    </row>
    <row r="1047" spans="4:5" s="2" customFormat="1" x14ac:dyDescent="0.25">
      <c r="D1047" s="166"/>
      <c r="E1047" s="166"/>
    </row>
    <row r="1048" spans="4:5" s="2" customFormat="1" x14ac:dyDescent="0.25">
      <c r="D1048" s="166"/>
      <c r="E1048" s="166"/>
    </row>
    <row r="1049" spans="4:5" s="2" customFormat="1" x14ac:dyDescent="0.25">
      <c r="D1049" s="166"/>
      <c r="E1049" s="166"/>
    </row>
    <row r="1050" spans="4:5" s="2" customFormat="1" x14ac:dyDescent="0.25">
      <c r="D1050" s="166"/>
      <c r="E1050" s="166"/>
    </row>
    <row r="1051" spans="4:5" s="2" customFormat="1" x14ac:dyDescent="0.25">
      <c r="D1051" s="166"/>
      <c r="E1051" s="166"/>
    </row>
    <row r="1052" spans="4:5" s="2" customFormat="1" x14ac:dyDescent="0.25">
      <c r="D1052" s="166"/>
      <c r="E1052" s="166"/>
    </row>
    <row r="1053" spans="4:5" s="2" customFormat="1" x14ac:dyDescent="0.25">
      <c r="D1053" s="166"/>
      <c r="E1053" s="166"/>
    </row>
    <row r="1054" spans="4:5" s="2" customFormat="1" x14ac:dyDescent="0.25">
      <c r="D1054" s="166"/>
      <c r="E1054" s="166"/>
    </row>
    <row r="1055" spans="4:5" s="2" customFormat="1" x14ac:dyDescent="0.25">
      <c r="D1055" s="166"/>
      <c r="E1055" s="166"/>
    </row>
    <row r="1056" spans="4:5" s="2" customFormat="1" x14ac:dyDescent="0.25">
      <c r="D1056" s="166"/>
      <c r="E1056" s="166"/>
    </row>
    <row r="1057" spans="4:5" s="2" customFormat="1" x14ac:dyDescent="0.25">
      <c r="D1057" s="166"/>
      <c r="E1057" s="166"/>
    </row>
    <row r="1058" spans="4:5" s="2" customFormat="1" x14ac:dyDescent="0.25">
      <c r="D1058" s="166"/>
      <c r="E1058" s="166"/>
    </row>
    <row r="1059" spans="4:5" s="2" customFormat="1" x14ac:dyDescent="0.25">
      <c r="D1059" s="166"/>
      <c r="E1059" s="166"/>
    </row>
    <row r="1060" spans="4:5" s="2" customFormat="1" x14ac:dyDescent="0.25">
      <c r="D1060" s="166"/>
      <c r="E1060" s="166"/>
    </row>
    <row r="1061" spans="4:5" s="2" customFormat="1" x14ac:dyDescent="0.25">
      <c r="D1061" s="166"/>
      <c r="E1061" s="166"/>
    </row>
    <row r="1062" spans="4:5" s="2" customFormat="1" x14ac:dyDescent="0.25">
      <c r="D1062" s="166"/>
      <c r="E1062" s="166"/>
    </row>
    <row r="1063" spans="4:5" s="2" customFormat="1" x14ac:dyDescent="0.25">
      <c r="D1063" s="166"/>
      <c r="E1063" s="166"/>
    </row>
    <row r="1064" spans="4:5" s="2" customFormat="1" x14ac:dyDescent="0.25">
      <c r="D1064" s="166"/>
      <c r="E1064" s="166"/>
    </row>
    <row r="1065" spans="4:5" s="2" customFormat="1" x14ac:dyDescent="0.25">
      <c r="D1065" s="166"/>
      <c r="E1065" s="166"/>
    </row>
    <row r="1066" spans="4:5" s="2" customFormat="1" x14ac:dyDescent="0.25">
      <c r="D1066" s="166"/>
      <c r="E1066" s="166"/>
    </row>
    <row r="1067" spans="4:5" s="2" customFormat="1" x14ac:dyDescent="0.25">
      <c r="D1067" s="166"/>
      <c r="E1067" s="166"/>
    </row>
    <row r="1068" spans="4:5" s="2" customFormat="1" x14ac:dyDescent="0.25">
      <c r="D1068" s="166"/>
      <c r="E1068" s="166"/>
    </row>
    <row r="1069" spans="4:5" s="2" customFormat="1" x14ac:dyDescent="0.25">
      <c r="D1069" s="166"/>
      <c r="E1069" s="166"/>
    </row>
    <row r="1070" spans="4:5" s="2" customFormat="1" x14ac:dyDescent="0.25">
      <c r="D1070" s="166"/>
      <c r="E1070" s="166"/>
    </row>
    <row r="1071" spans="4:5" s="2" customFormat="1" x14ac:dyDescent="0.25">
      <c r="D1071" s="166"/>
      <c r="E1071" s="166"/>
    </row>
    <row r="1072" spans="4:5" s="2" customFormat="1" x14ac:dyDescent="0.25">
      <c r="D1072" s="166"/>
      <c r="E1072" s="166"/>
    </row>
    <row r="1073" spans="4:5" s="2" customFormat="1" x14ac:dyDescent="0.25">
      <c r="D1073" s="166"/>
      <c r="E1073" s="166"/>
    </row>
    <row r="1074" spans="4:5" s="2" customFormat="1" x14ac:dyDescent="0.25">
      <c r="D1074" s="166"/>
      <c r="E1074" s="166"/>
    </row>
    <row r="1075" spans="4:5" s="2" customFormat="1" x14ac:dyDescent="0.25">
      <c r="D1075" s="166"/>
      <c r="E1075" s="166"/>
    </row>
    <row r="1076" spans="4:5" s="2" customFormat="1" x14ac:dyDescent="0.25">
      <c r="D1076" s="166"/>
      <c r="E1076" s="166"/>
    </row>
    <row r="1077" spans="4:5" s="2" customFormat="1" x14ac:dyDescent="0.25">
      <c r="D1077" s="166"/>
      <c r="E1077" s="166"/>
    </row>
    <row r="1078" spans="4:5" s="2" customFormat="1" x14ac:dyDescent="0.25">
      <c r="D1078" s="166"/>
      <c r="E1078" s="166"/>
    </row>
    <row r="1079" spans="4:5" s="2" customFormat="1" x14ac:dyDescent="0.25">
      <c r="D1079" s="166"/>
      <c r="E1079" s="166"/>
    </row>
    <row r="1080" spans="4:5" s="2" customFormat="1" x14ac:dyDescent="0.25">
      <c r="D1080" s="166"/>
      <c r="E1080" s="166"/>
    </row>
    <row r="1081" spans="4:5" s="2" customFormat="1" x14ac:dyDescent="0.25">
      <c r="D1081" s="166"/>
      <c r="E1081" s="166"/>
    </row>
    <row r="1082" spans="4:5" s="2" customFormat="1" x14ac:dyDescent="0.25">
      <c r="D1082" s="166"/>
      <c r="E1082" s="166"/>
    </row>
    <row r="1083" spans="4:5" s="2" customFormat="1" x14ac:dyDescent="0.25">
      <c r="D1083" s="166"/>
      <c r="E1083" s="166"/>
    </row>
    <row r="1084" spans="4:5" s="2" customFormat="1" x14ac:dyDescent="0.25">
      <c r="D1084" s="166"/>
      <c r="E1084" s="166"/>
    </row>
    <row r="1085" spans="4:5" s="2" customFormat="1" x14ac:dyDescent="0.25">
      <c r="D1085" s="166"/>
      <c r="E1085" s="166"/>
    </row>
    <row r="1086" spans="4:5" s="2" customFormat="1" x14ac:dyDescent="0.25">
      <c r="D1086" s="166"/>
      <c r="E1086" s="166"/>
    </row>
    <row r="1087" spans="4:5" s="2" customFormat="1" x14ac:dyDescent="0.25">
      <c r="D1087" s="166"/>
      <c r="E1087" s="166"/>
    </row>
    <row r="1088" spans="4:5" s="2" customFormat="1" x14ac:dyDescent="0.25">
      <c r="D1088" s="166"/>
      <c r="E1088" s="166"/>
    </row>
    <row r="1089" spans="4:5" s="2" customFormat="1" x14ac:dyDescent="0.25">
      <c r="D1089" s="166"/>
      <c r="E1089" s="166"/>
    </row>
    <row r="1090" spans="4:5" s="2" customFormat="1" x14ac:dyDescent="0.25">
      <c r="D1090" s="166"/>
      <c r="E1090" s="166"/>
    </row>
    <row r="1091" spans="4:5" s="2" customFormat="1" x14ac:dyDescent="0.25">
      <c r="D1091" s="166"/>
      <c r="E1091" s="166"/>
    </row>
    <row r="1092" spans="4:5" s="2" customFormat="1" x14ac:dyDescent="0.25">
      <c r="D1092" s="166"/>
      <c r="E1092" s="166"/>
    </row>
    <row r="1093" spans="4:5" s="2" customFormat="1" x14ac:dyDescent="0.25">
      <c r="D1093" s="166"/>
      <c r="E1093" s="166"/>
    </row>
    <row r="1094" spans="4:5" s="2" customFormat="1" x14ac:dyDescent="0.25">
      <c r="D1094" s="166"/>
      <c r="E1094" s="166"/>
    </row>
    <row r="1095" spans="4:5" s="2" customFormat="1" x14ac:dyDescent="0.25">
      <c r="D1095" s="166"/>
      <c r="E1095" s="166"/>
    </row>
    <row r="1096" spans="4:5" s="2" customFormat="1" x14ac:dyDescent="0.25">
      <c r="D1096" s="166"/>
      <c r="E1096" s="166"/>
    </row>
    <row r="1097" spans="4:5" s="2" customFormat="1" x14ac:dyDescent="0.25">
      <c r="D1097" s="166"/>
      <c r="E1097" s="166"/>
    </row>
    <row r="1098" spans="4:5" s="2" customFormat="1" x14ac:dyDescent="0.25">
      <c r="D1098" s="166"/>
      <c r="E1098" s="166"/>
    </row>
    <row r="1099" spans="4:5" s="2" customFormat="1" x14ac:dyDescent="0.25">
      <c r="D1099" s="166"/>
      <c r="E1099" s="166"/>
    </row>
    <row r="1100" spans="4:5" s="2" customFormat="1" x14ac:dyDescent="0.25">
      <c r="D1100" s="166"/>
      <c r="E1100" s="166"/>
    </row>
    <row r="1101" spans="4:5" s="2" customFormat="1" x14ac:dyDescent="0.25">
      <c r="D1101" s="166"/>
      <c r="E1101" s="166"/>
    </row>
    <row r="1102" spans="4:5" s="2" customFormat="1" x14ac:dyDescent="0.25">
      <c r="D1102" s="166"/>
      <c r="E1102" s="166"/>
    </row>
    <row r="1103" spans="4:5" s="2" customFormat="1" x14ac:dyDescent="0.25">
      <c r="D1103" s="166"/>
      <c r="E1103" s="166"/>
    </row>
    <row r="1104" spans="4:5" s="2" customFormat="1" x14ac:dyDescent="0.25">
      <c r="D1104" s="166"/>
      <c r="E1104" s="166"/>
    </row>
    <row r="1105" spans="4:5" s="2" customFormat="1" x14ac:dyDescent="0.25">
      <c r="D1105" s="166"/>
      <c r="E1105" s="166"/>
    </row>
    <row r="1106" spans="4:5" s="2" customFormat="1" x14ac:dyDescent="0.25">
      <c r="D1106" s="166"/>
      <c r="E1106" s="166"/>
    </row>
    <row r="1107" spans="4:5" s="2" customFormat="1" x14ac:dyDescent="0.25">
      <c r="D1107" s="166"/>
      <c r="E1107" s="166"/>
    </row>
    <row r="1108" spans="4:5" s="2" customFormat="1" x14ac:dyDescent="0.25">
      <c r="D1108" s="166"/>
      <c r="E1108" s="166"/>
    </row>
    <row r="1109" spans="4:5" s="2" customFormat="1" x14ac:dyDescent="0.25">
      <c r="D1109" s="166"/>
      <c r="E1109" s="166"/>
    </row>
    <row r="1110" spans="4:5" s="2" customFormat="1" x14ac:dyDescent="0.25">
      <c r="D1110" s="166"/>
      <c r="E1110" s="166"/>
    </row>
    <row r="1111" spans="4:5" s="2" customFormat="1" x14ac:dyDescent="0.25">
      <c r="D1111" s="166"/>
      <c r="E1111" s="166"/>
    </row>
    <row r="1112" spans="4:5" s="2" customFormat="1" x14ac:dyDescent="0.25">
      <c r="D1112" s="166"/>
      <c r="E1112" s="166"/>
    </row>
    <row r="1113" spans="4:5" s="2" customFormat="1" x14ac:dyDescent="0.25">
      <c r="D1113" s="166"/>
      <c r="E1113" s="166"/>
    </row>
    <row r="1114" spans="4:5" s="2" customFormat="1" x14ac:dyDescent="0.25">
      <c r="D1114" s="166"/>
      <c r="E1114" s="166"/>
    </row>
    <row r="1115" spans="4:5" s="2" customFormat="1" x14ac:dyDescent="0.25">
      <c r="D1115" s="166"/>
      <c r="E1115" s="166"/>
    </row>
    <row r="1116" spans="4:5" s="2" customFormat="1" x14ac:dyDescent="0.25">
      <c r="D1116" s="166"/>
      <c r="E1116" s="166"/>
    </row>
    <row r="1117" spans="4:5" s="2" customFormat="1" x14ac:dyDescent="0.25">
      <c r="D1117" s="166"/>
      <c r="E1117" s="166"/>
    </row>
    <row r="1118" spans="4:5" s="2" customFormat="1" x14ac:dyDescent="0.25">
      <c r="D1118" s="166"/>
      <c r="E1118" s="166"/>
    </row>
    <row r="1119" spans="4:5" s="2" customFormat="1" x14ac:dyDescent="0.25">
      <c r="D1119" s="166"/>
      <c r="E1119" s="166"/>
    </row>
    <row r="1120" spans="4:5" s="2" customFormat="1" x14ac:dyDescent="0.25">
      <c r="D1120" s="166"/>
      <c r="E1120" s="166"/>
    </row>
    <row r="1121" spans="4:5" s="2" customFormat="1" x14ac:dyDescent="0.25">
      <c r="D1121" s="166"/>
      <c r="E1121" s="166"/>
    </row>
    <row r="1122" spans="4:5" s="2" customFormat="1" x14ac:dyDescent="0.25">
      <c r="D1122" s="166"/>
      <c r="E1122" s="166"/>
    </row>
    <row r="1123" spans="4:5" s="2" customFormat="1" x14ac:dyDescent="0.25">
      <c r="D1123" s="166"/>
      <c r="E1123" s="166"/>
    </row>
    <row r="1124" spans="4:5" s="2" customFormat="1" x14ac:dyDescent="0.25">
      <c r="D1124" s="166"/>
      <c r="E1124" s="166"/>
    </row>
    <row r="1125" spans="4:5" s="2" customFormat="1" x14ac:dyDescent="0.25">
      <c r="D1125" s="166"/>
      <c r="E1125" s="166"/>
    </row>
    <row r="1126" spans="4:5" s="2" customFormat="1" x14ac:dyDescent="0.25">
      <c r="D1126" s="166"/>
      <c r="E1126" s="166"/>
    </row>
    <row r="1127" spans="4:5" s="2" customFormat="1" x14ac:dyDescent="0.25">
      <c r="D1127" s="166"/>
      <c r="E1127" s="166"/>
    </row>
    <row r="1128" spans="4:5" s="2" customFormat="1" x14ac:dyDescent="0.25">
      <c r="D1128" s="166"/>
      <c r="E1128" s="166"/>
    </row>
    <row r="1129" spans="4:5" s="2" customFormat="1" x14ac:dyDescent="0.25">
      <c r="D1129" s="166"/>
      <c r="E1129" s="166"/>
    </row>
    <row r="1130" spans="4:5" s="2" customFormat="1" x14ac:dyDescent="0.25">
      <c r="D1130" s="166"/>
      <c r="E1130" s="166"/>
    </row>
    <row r="1131" spans="4:5" s="2" customFormat="1" x14ac:dyDescent="0.25">
      <c r="D1131" s="166"/>
      <c r="E1131" s="166"/>
    </row>
    <row r="1132" spans="4:5" s="2" customFormat="1" x14ac:dyDescent="0.25">
      <c r="D1132" s="166"/>
      <c r="E1132" s="166"/>
    </row>
    <row r="1133" spans="4:5" s="2" customFormat="1" x14ac:dyDescent="0.25">
      <c r="D1133" s="166"/>
      <c r="E1133" s="166"/>
    </row>
    <row r="1134" spans="4:5" s="2" customFormat="1" x14ac:dyDescent="0.25">
      <c r="D1134" s="166"/>
      <c r="E1134" s="166"/>
    </row>
    <row r="1135" spans="4:5" s="2" customFormat="1" x14ac:dyDescent="0.25">
      <c r="D1135" s="166"/>
      <c r="E1135" s="166"/>
    </row>
    <row r="1136" spans="4:5" s="2" customFormat="1" x14ac:dyDescent="0.25">
      <c r="D1136" s="166"/>
      <c r="E1136" s="166"/>
    </row>
    <row r="1137" spans="4:5" s="2" customFormat="1" x14ac:dyDescent="0.25">
      <c r="D1137" s="166"/>
      <c r="E1137" s="166"/>
    </row>
    <row r="1138" spans="4:5" s="2" customFormat="1" x14ac:dyDescent="0.25">
      <c r="D1138" s="166"/>
      <c r="E1138" s="166"/>
    </row>
    <row r="1139" spans="4:5" s="2" customFormat="1" x14ac:dyDescent="0.25">
      <c r="D1139" s="166"/>
      <c r="E1139" s="166"/>
    </row>
    <row r="1140" spans="4:5" s="2" customFormat="1" x14ac:dyDescent="0.25">
      <c r="D1140" s="166"/>
      <c r="E1140" s="166"/>
    </row>
    <row r="1141" spans="4:5" s="2" customFormat="1" x14ac:dyDescent="0.25">
      <c r="D1141" s="166"/>
      <c r="E1141" s="166"/>
    </row>
    <row r="1142" spans="4:5" s="2" customFormat="1" x14ac:dyDescent="0.25">
      <c r="D1142" s="166"/>
      <c r="E1142" s="166"/>
    </row>
    <row r="1143" spans="4:5" s="2" customFormat="1" x14ac:dyDescent="0.25">
      <c r="D1143" s="166"/>
      <c r="E1143" s="166"/>
    </row>
    <row r="1144" spans="4:5" s="2" customFormat="1" x14ac:dyDescent="0.25">
      <c r="D1144" s="166"/>
      <c r="E1144" s="166"/>
    </row>
    <row r="1145" spans="4:5" s="2" customFormat="1" x14ac:dyDescent="0.25">
      <c r="D1145" s="166"/>
      <c r="E1145" s="166"/>
    </row>
    <row r="1146" spans="4:5" s="2" customFormat="1" x14ac:dyDescent="0.25">
      <c r="D1146" s="166"/>
      <c r="E1146" s="166"/>
    </row>
    <row r="1147" spans="4:5" s="2" customFormat="1" x14ac:dyDescent="0.25">
      <c r="D1147" s="166"/>
      <c r="E1147" s="166"/>
    </row>
    <row r="1148" spans="4:5" s="2" customFormat="1" x14ac:dyDescent="0.25">
      <c r="D1148" s="166"/>
      <c r="E1148" s="166"/>
    </row>
    <row r="1149" spans="4:5" s="2" customFormat="1" x14ac:dyDescent="0.25">
      <c r="D1149" s="166"/>
      <c r="E1149" s="166"/>
    </row>
    <row r="1150" spans="4:5" s="2" customFormat="1" x14ac:dyDescent="0.25">
      <c r="D1150" s="166"/>
      <c r="E1150" s="166"/>
    </row>
    <row r="1151" spans="4:5" s="2" customFormat="1" x14ac:dyDescent="0.25">
      <c r="D1151" s="166"/>
      <c r="E1151" s="166"/>
    </row>
    <row r="1152" spans="4:5" s="2" customFormat="1" x14ac:dyDescent="0.25">
      <c r="D1152" s="166"/>
      <c r="E1152" s="166"/>
    </row>
    <row r="1153" spans="4:5" s="2" customFormat="1" x14ac:dyDescent="0.25">
      <c r="D1153" s="166"/>
      <c r="E1153" s="166"/>
    </row>
    <row r="1154" spans="4:5" s="2" customFormat="1" x14ac:dyDescent="0.25">
      <c r="D1154" s="166"/>
      <c r="E1154" s="166"/>
    </row>
    <row r="1155" spans="4:5" s="2" customFormat="1" x14ac:dyDescent="0.25">
      <c r="D1155" s="166"/>
      <c r="E1155" s="166"/>
    </row>
    <row r="1156" spans="4:5" s="2" customFormat="1" x14ac:dyDescent="0.25">
      <c r="D1156" s="166"/>
      <c r="E1156" s="166"/>
    </row>
    <row r="1157" spans="4:5" s="2" customFormat="1" x14ac:dyDescent="0.25">
      <c r="D1157" s="166"/>
      <c r="E1157" s="166"/>
    </row>
    <row r="1158" spans="4:5" s="2" customFormat="1" x14ac:dyDescent="0.25">
      <c r="D1158" s="166"/>
      <c r="E1158" s="166"/>
    </row>
    <row r="1159" spans="4:5" s="2" customFormat="1" x14ac:dyDescent="0.25">
      <c r="D1159" s="166"/>
      <c r="E1159" s="166"/>
    </row>
    <row r="1160" spans="4:5" s="2" customFormat="1" x14ac:dyDescent="0.25">
      <c r="D1160" s="166"/>
      <c r="E1160" s="166"/>
    </row>
    <row r="1161" spans="4:5" s="2" customFormat="1" x14ac:dyDescent="0.25">
      <c r="D1161" s="166"/>
      <c r="E1161" s="166"/>
    </row>
    <row r="1162" spans="4:5" s="2" customFormat="1" x14ac:dyDescent="0.25">
      <c r="D1162" s="166"/>
      <c r="E1162" s="166"/>
    </row>
    <row r="1163" spans="4:5" s="2" customFormat="1" x14ac:dyDescent="0.25">
      <c r="D1163" s="166"/>
      <c r="E1163" s="166"/>
    </row>
    <row r="1164" spans="4:5" s="2" customFormat="1" x14ac:dyDescent="0.25">
      <c r="D1164" s="166"/>
      <c r="E1164" s="166"/>
    </row>
    <row r="1165" spans="4:5" s="2" customFormat="1" x14ac:dyDescent="0.25">
      <c r="D1165" s="166"/>
      <c r="E1165" s="166"/>
    </row>
    <row r="1166" spans="4:5" s="2" customFormat="1" x14ac:dyDescent="0.25">
      <c r="D1166" s="166"/>
      <c r="E1166" s="166"/>
    </row>
    <row r="1167" spans="4:5" s="2" customFormat="1" x14ac:dyDescent="0.25">
      <c r="D1167" s="166"/>
      <c r="E1167" s="166"/>
    </row>
    <row r="1168" spans="4:5" s="2" customFormat="1" x14ac:dyDescent="0.25">
      <c r="D1168" s="166"/>
      <c r="E1168" s="166"/>
    </row>
    <row r="1169" spans="4:5" s="2" customFormat="1" x14ac:dyDescent="0.25">
      <c r="D1169" s="166"/>
      <c r="E1169" s="166"/>
    </row>
    <row r="1170" spans="4:5" s="2" customFormat="1" x14ac:dyDescent="0.25">
      <c r="D1170" s="166"/>
      <c r="E1170" s="166"/>
    </row>
    <row r="1171" spans="4:5" s="2" customFormat="1" x14ac:dyDescent="0.25">
      <c r="D1171" s="166"/>
      <c r="E1171" s="166"/>
    </row>
    <row r="1172" spans="4:5" s="2" customFormat="1" x14ac:dyDescent="0.25">
      <c r="D1172" s="166"/>
      <c r="E1172" s="166"/>
    </row>
    <row r="1173" spans="4:5" s="2" customFormat="1" x14ac:dyDescent="0.25">
      <c r="D1173" s="166"/>
      <c r="E1173" s="166"/>
    </row>
    <row r="1174" spans="4:5" s="2" customFormat="1" x14ac:dyDescent="0.25">
      <c r="D1174" s="166"/>
      <c r="E1174" s="166"/>
    </row>
    <row r="1175" spans="4:5" s="2" customFormat="1" x14ac:dyDescent="0.25">
      <c r="D1175" s="166"/>
      <c r="E1175" s="166"/>
    </row>
    <row r="1176" spans="4:5" s="2" customFormat="1" x14ac:dyDescent="0.25">
      <c r="D1176" s="166"/>
      <c r="E1176" s="166"/>
    </row>
    <row r="1177" spans="4:5" s="2" customFormat="1" x14ac:dyDescent="0.25">
      <c r="D1177" s="166"/>
      <c r="E1177" s="166"/>
    </row>
    <row r="1178" spans="4:5" s="2" customFormat="1" x14ac:dyDescent="0.25">
      <c r="D1178" s="166"/>
      <c r="E1178" s="166"/>
    </row>
    <row r="1179" spans="4:5" s="2" customFormat="1" x14ac:dyDescent="0.25">
      <c r="D1179" s="166"/>
      <c r="E1179" s="166"/>
    </row>
    <row r="1180" spans="4:5" s="2" customFormat="1" x14ac:dyDescent="0.25">
      <c r="D1180" s="166"/>
      <c r="E1180" s="166"/>
    </row>
    <row r="1181" spans="4:5" s="2" customFormat="1" x14ac:dyDescent="0.25">
      <c r="D1181" s="166"/>
      <c r="E1181" s="166"/>
    </row>
    <row r="1182" spans="4:5" s="2" customFormat="1" x14ac:dyDescent="0.25">
      <c r="D1182" s="166"/>
      <c r="E1182" s="166"/>
    </row>
    <row r="1183" spans="4:5" s="2" customFormat="1" x14ac:dyDescent="0.25">
      <c r="D1183" s="166"/>
      <c r="E1183" s="166"/>
    </row>
    <row r="1184" spans="4:5" s="2" customFormat="1" x14ac:dyDescent="0.25">
      <c r="D1184" s="166"/>
      <c r="E1184" s="166"/>
    </row>
    <row r="1185" spans="4:5" s="2" customFormat="1" x14ac:dyDescent="0.25">
      <c r="D1185" s="166"/>
      <c r="E1185" s="166"/>
    </row>
    <row r="1186" spans="4:5" s="2" customFormat="1" x14ac:dyDescent="0.25">
      <c r="D1186" s="166"/>
      <c r="E1186" s="166"/>
    </row>
    <row r="1187" spans="4:5" s="2" customFormat="1" x14ac:dyDescent="0.25">
      <c r="D1187" s="166"/>
      <c r="E1187" s="166"/>
    </row>
    <row r="1188" spans="4:5" s="2" customFormat="1" x14ac:dyDescent="0.25">
      <c r="D1188" s="166"/>
      <c r="E1188" s="166"/>
    </row>
    <row r="1189" spans="4:5" s="2" customFormat="1" x14ac:dyDescent="0.25">
      <c r="D1189" s="166"/>
      <c r="E1189" s="166"/>
    </row>
    <row r="1190" spans="4:5" s="2" customFormat="1" x14ac:dyDescent="0.25">
      <c r="D1190" s="166"/>
      <c r="E1190" s="166"/>
    </row>
    <row r="1191" spans="4:5" s="2" customFormat="1" x14ac:dyDescent="0.25">
      <c r="D1191" s="166"/>
      <c r="E1191" s="166"/>
    </row>
    <row r="1192" spans="4:5" s="2" customFormat="1" x14ac:dyDescent="0.25">
      <c r="D1192" s="166"/>
      <c r="E1192" s="166"/>
    </row>
    <row r="1193" spans="4:5" s="2" customFormat="1" x14ac:dyDescent="0.25">
      <c r="D1193" s="166"/>
      <c r="E1193" s="166"/>
    </row>
    <row r="1194" spans="4:5" s="2" customFormat="1" x14ac:dyDescent="0.25">
      <c r="D1194" s="166"/>
      <c r="E1194" s="166"/>
    </row>
    <row r="1195" spans="4:5" s="2" customFormat="1" x14ac:dyDescent="0.25">
      <c r="D1195" s="166"/>
      <c r="E1195" s="166"/>
    </row>
    <row r="1196" spans="4:5" s="2" customFormat="1" x14ac:dyDescent="0.25">
      <c r="D1196" s="166"/>
      <c r="E1196" s="166"/>
    </row>
    <row r="1197" spans="4:5" s="2" customFormat="1" x14ac:dyDescent="0.25">
      <c r="D1197" s="166"/>
      <c r="E1197" s="166"/>
    </row>
    <row r="1198" spans="4:5" s="2" customFormat="1" x14ac:dyDescent="0.25">
      <c r="D1198" s="166"/>
      <c r="E1198" s="166"/>
    </row>
    <row r="1199" spans="4:5" s="2" customFormat="1" x14ac:dyDescent="0.25">
      <c r="D1199" s="166"/>
      <c r="E1199" s="166"/>
    </row>
    <row r="1200" spans="4:5" s="2" customFormat="1" x14ac:dyDescent="0.25">
      <c r="D1200" s="166"/>
      <c r="E1200" s="166"/>
    </row>
    <row r="1201" spans="4:5" s="2" customFormat="1" x14ac:dyDescent="0.25">
      <c r="D1201" s="166"/>
      <c r="E1201" s="166"/>
    </row>
    <row r="1202" spans="4:5" s="2" customFormat="1" x14ac:dyDescent="0.25">
      <c r="D1202" s="166"/>
      <c r="E1202" s="166"/>
    </row>
    <row r="1203" spans="4:5" s="2" customFormat="1" x14ac:dyDescent="0.25">
      <c r="D1203" s="166"/>
      <c r="E1203" s="166"/>
    </row>
    <row r="1204" spans="4:5" s="2" customFormat="1" x14ac:dyDescent="0.25">
      <c r="D1204" s="166"/>
      <c r="E1204" s="166"/>
    </row>
    <row r="1205" spans="4:5" s="2" customFormat="1" x14ac:dyDescent="0.25">
      <c r="D1205" s="166"/>
      <c r="E1205" s="166"/>
    </row>
    <row r="1206" spans="4:5" s="2" customFormat="1" x14ac:dyDescent="0.25">
      <c r="D1206" s="166"/>
      <c r="E1206" s="166"/>
    </row>
    <row r="1207" spans="4:5" s="2" customFormat="1" x14ac:dyDescent="0.25">
      <c r="D1207" s="166"/>
      <c r="E1207" s="166"/>
    </row>
    <row r="1208" spans="4:5" s="2" customFormat="1" x14ac:dyDescent="0.25">
      <c r="D1208" s="166"/>
      <c r="E1208" s="166"/>
    </row>
    <row r="1209" spans="4:5" s="2" customFormat="1" x14ac:dyDescent="0.25">
      <c r="D1209" s="166"/>
      <c r="E1209" s="166"/>
    </row>
    <row r="1210" spans="4:5" s="2" customFormat="1" x14ac:dyDescent="0.25">
      <c r="D1210" s="166"/>
      <c r="E1210" s="166"/>
    </row>
    <row r="1211" spans="4:5" s="2" customFormat="1" x14ac:dyDescent="0.25">
      <c r="D1211" s="166"/>
      <c r="E1211" s="166"/>
    </row>
    <row r="1212" spans="4:5" s="2" customFormat="1" x14ac:dyDescent="0.25">
      <c r="D1212" s="166"/>
      <c r="E1212" s="166"/>
    </row>
    <row r="1213" spans="4:5" s="2" customFormat="1" x14ac:dyDescent="0.25">
      <c r="D1213" s="166"/>
      <c r="E1213" s="166"/>
    </row>
    <row r="1214" spans="4:5" s="2" customFormat="1" x14ac:dyDescent="0.25">
      <c r="D1214" s="166"/>
      <c r="E1214" s="166"/>
    </row>
    <row r="1215" spans="4:5" s="2" customFormat="1" x14ac:dyDescent="0.25">
      <c r="D1215" s="166"/>
      <c r="E1215" s="166"/>
    </row>
    <row r="1216" spans="4:5" s="2" customFormat="1" x14ac:dyDescent="0.25">
      <c r="D1216" s="166"/>
      <c r="E1216" s="166"/>
    </row>
    <row r="1217" spans="4:5" s="2" customFormat="1" x14ac:dyDescent="0.25">
      <c r="D1217" s="166"/>
      <c r="E1217" s="166"/>
    </row>
    <row r="1218" spans="4:5" s="2" customFormat="1" x14ac:dyDescent="0.25">
      <c r="D1218" s="166"/>
      <c r="E1218" s="166"/>
    </row>
    <row r="1219" spans="4:5" s="2" customFormat="1" x14ac:dyDescent="0.25">
      <c r="D1219" s="166"/>
      <c r="E1219" s="166"/>
    </row>
    <row r="1220" spans="4:5" s="2" customFormat="1" x14ac:dyDescent="0.25">
      <c r="D1220" s="166"/>
      <c r="E1220" s="166"/>
    </row>
    <row r="1221" spans="4:5" s="2" customFormat="1" x14ac:dyDescent="0.25">
      <c r="D1221" s="166"/>
      <c r="E1221" s="166"/>
    </row>
    <row r="1222" spans="4:5" s="2" customFormat="1" x14ac:dyDescent="0.25">
      <c r="D1222" s="166"/>
      <c r="E1222" s="166"/>
    </row>
    <row r="1223" spans="4:5" s="2" customFormat="1" x14ac:dyDescent="0.25">
      <c r="D1223" s="166"/>
      <c r="E1223" s="166"/>
    </row>
    <row r="1224" spans="4:5" s="2" customFormat="1" x14ac:dyDescent="0.25">
      <c r="D1224" s="166"/>
      <c r="E1224" s="166"/>
    </row>
    <row r="1225" spans="4:5" s="2" customFormat="1" x14ac:dyDescent="0.25">
      <c r="D1225" s="166"/>
      <c r="E1225" s="166"/>
    </row>
    <row r="1226" spans="4:5" s="2" customFormat="1" x14ac:dyDescent="0.25">
      <c r="D1226" s="166"/>
      <c r="E1226" s="166"/>
    </row>
    <row r="1227" spans="4:5" s="2" customFormat="1" x14ac:dyDescent="0.25">
      <c r="D1227" s="166"/>
      <c r="E1227" s="166"/>
    </row>
    <row r="1228" spans="4:5" s="2" customFormat="1" x14ac:dyDescent="0.25">
      <c r="D1228" s="166"/>
      <c r="E1228" s="166"/>
    </row>
    <row r="1229" spans="4:5" s="2" customFormat="1" x14ac:dyDescent="0.25">
      <c r="D1229" s="166"/>
      <c r="E1229" s="166"/>
    </row>
    <row r="1230" spans="4:5" s="2" customFormat="1" x14ac:dyDescent="0.25">
      <c r="D1230" s="166"/>
      <c r="E1230" s="166"/>
    </row>
    <row r="1231" spans="4:5" s="2" customFormat="1" x14ac:dyDescent="0.25">
      <c r="D1231" s="166"/>
      <c r="E1231" s="166"/>
    </row>
    <row r="1232" spans="4:5" s="2" customFormat="1" x14ac:dyDescent="0.25">
      <c r="D1232" s="166"/>
      <c r="E1232" s="166"/>
    </row>
    <row r="1233" spans="4:5" s="2" customFormat="1" x14ac:dyDescent="0.25">
      <c r="D1233" s="166"/>
      <c r="E1233" s="166"/>
    </row>
    <row r="1234" spans="4:5" s="2" customFormat="1" x14ac:dyDescent="0.25">
      <c r="D1234" s="166"/>
      <c r="E1234" s="166"/>
    </row>
    <row r="1235" spans="4:5" s="2" customFormat="1" x14ac:dyDescent="0.25">
      <c r="D1235" s="166"/>
      <c r="E1235" s="166"/>
    </row>
    <row r="1236" spans="4:5" s="2" customFormat="1" x14ac:dyDescent="0.25">
      <c r="D1236" s="166"/>
      <c r="E1236" s="166"/>
    </row>
    <row r="1237" spans="4:5" s="2" customFormat="1" x14ac:dyDescent="0.25">
      <c r="D1237" s="166"/>
      <c r="E1237" s="166"/>
    </row>
    <row r="1238" spans="4:5" s="2" customFormat="1" x14ac:dyDescent="0.25">
      <c r="D1238" s="166"/>
      <c r="E1238" s="166"/>
    </row>
    <row r="1239" spans="4:5" s="2" customFormat="1" x14ac:dyDescent="0.25">
      <c r="D1239" s="166"/>
      <c r="E1239" s="166"/>
    </row>
    <row r="1240" spans="4:5" s="2" customFormat="1" x14ac:dyDescent="0.25">
      <c r="D1240" s="166"/>
      <c r="E1240" s="166"/>
    </row>
    <row r="1241" spans="4:5" s="2" customFormat="1" x14ac:dyDescent="0.25">
      <c r="D1241" s="166"/>
      <c r="E1241" s="166"/>
    </row>
    <row r="1242" spans="4:5" s="2" customFormat="1" x14ac:dyDescent="0.25">
      <c r="D1242" s="166"/>
      <c r="E1242" s="166"/>
    </row>
    <row r="1243" spans="4:5" s="2" customFormat="1" x14ac:dyDescent="0.25">
      <c r="D1243" s="166"/>
      <c r="E1243" s="166"/>
    </row>
    <row r="1244" spans="4:5" s="2" customFormat="1" x14ac:dyDescent="0.25">
      <c r="D1244" s="166"/>
      <c r="E1244" s="166"/>
    </row>
    <row r="1245" spans="4:5" s="2" customFormat="1" x14ac:dyDescent="0.25">
      <c r="D1245" s="166"/>
      <c r="E1245" s="166"/>
    </row>
    <row r="1246" spans="4:5" s="2" customFormat="1" x14ac:dyDescent="0.25">
      <c r="D1246" s="166"/>
      <c r="E1246" s="166"/>
    </row>
    <row r="1247" spans="4:5" s="2" customFormat="1" x14ac:dyDescent="0.25">
      <c r="D1247" s="166"/>
      <c r="E1247" s="166"/>
    </row>
    <row r="1248" spans="4:5" s="2" customFormat="1" x14ac:dyDescent="0.25">
      <c r="D1248" s="166"/>
      <c r="E1248" s="166"/>
    </row>
    <row r="1249" spans="4:5" s="2" customFormat="1" x14ac:dyDescent="0.25">
      <c r="D1249" s="166"/>
      <c r="E1249" s="166"/>
    </row>
    <row r="1250" spans="4:5" s="2" customFormat="1" x14ac:dyDescent="0.25">
      <c r="D1250" s="166"/>
      <c r="E1250" s="166"/>
    </row>
    <row r="1251" spans="4:5" s="2" customFormat="1" x14ac:dyDescent="0.25">
      <c r="D1251" s="166"/>
      <c r="E1251" s="166"/>
    </row>
    <row r="1252" spans="4:5" s="2" customFormat="1" x14ac:dyDescent="0.25">
      <c r="D1252" s="166"/>
      <c r="E1252" s="166"/>
    </row>
    <row r="1253" spans="4:5" s="2" customFormat="1" x14ac:dyDescent="0.25">
      <c r="D1253" s="166"/>
      <c r="E1253" s="166"/>
    </row>
    <row r="1254" spans="4:5" s="2" customFormat="1" x14ac:dyDescent="0.25">
      <c r="D1254" s="166"/>
      <c r="E1254" s="166"/>
    </row>
    <row r="1255" spans="4:5" s="2" customFormat="1" x14ac:dyDescent="0.25">
      <c r="D1255" s="166"/>
      <c r="E1255" s="166"/>
    </row>
    <row r="1256" spans="4:5" s="2" customFormat="1" x14ac:dyDescent="0.25">
      <c r="D1256" s="166"/>
      <c r="E1256" s="166"/>
    </row>
    <row r="1257" spans="4:5" s="2" customFormat="1" x14ac:dyDescent="0.25">
      <c r="D1257" s="166"/>
      <c r="E1257" s="166"/>
    </row>
    <row r="1258" spans="4:5" s="2" customFormat="1" x14ac:dyDescent="0.25">
      <c r="D1258" s="166"/>
      <c r="E1258" s="166"/>
    </row>
    <row r="1259" spans="4:5" s="2" customFormat="1" x14ac:dyDescent="0.25">
      <c r="D1259" s="166"/>
      <c r="E1259" s="166"/>
    </row>
    <row r="1260" spans="4:5" s="2" customFormat="1" x14ac:dyDescent="0.25">
      <c r="D1260" s="166"/>
      <c r="E1260" s="166"/>
    </row>
    <row r="1261" spans="4:5" s="2" customFormat="1" x14ac:dyDescent="0.25">
      <c r="D1261" s="166"/>
      <c r="E1261" s="166"/>
    </row>
    <row r="1262" spans="4:5" s="2" customFormat="1" x14ac:dyDescent="0.25">
      <c r="D1262" s="166"/>
      <c r="E1262" s="166"/>
    </row>
    <row r="1263" spans="4:5" s="2" customFormat="1" x14ac:dyDescent="0.25">
      <c r="D1263" s="166"/>
      <c r="E1263" s="166"/>
    </row>
    <row r="1264" spans="4:5" s="2" customFormat="1" x14ac:dyDescent="0.25">
      <c r="D1264" s="166"/>
      <c r="E1264" s="166"/>
    </row>
    <row r="1265" spans="4:5" s="2" customFormat="1" x14ac:dyDescent="0.25">
      <c r="D1265" s="166"/>
      <c r="E1265" s="166"/>
    </row>
    <row r="1266" spans="4:5" s="2" customFormat="1" x14ac:dyDescent="0.25">
      <c r="D1266" s="166"/>
      <c r="E1266" s="166"/>
    </row>
    <row r="1267" spans="4:5" s="2" customFormat="1" x14ac:dyDescent="0.25">
      <c r="D1267" s="166"/>
      <c r="E1267" s="166"/>
    </row>
    <row r="1268" spans="4:5" s="2" customFormat="1" x14ac:dyDescent="0.25">
      <c r="D1268" s="166"/>
      <c r="E1268" s="166"/>
    </row>
    <row r="1269" spans="4:5" s="2" customFormat="1" x14ac:dyDescent="0.25">
      <c r="D1269" s="166"/>
      <c r="E1269" s="166"/>
    </row>
    <row r="1270" spans="4:5" s="2" customFormat="1" x14ac:dyDescent="0.25">
      <c r="D1270" s="166"/>
      <c r="E1270" s="166"/>
    </row>
    <row r="1271" spans="4:5" s="2" customFormat="1" x14ac:dyDescent="0.25">
      <c r="D1271" s="166"/>
      <c r="E1271" s="166"/>
    </row>
    <row r="1272" spans="4:5" s="2" customFormat="1" x14ac:dyDescent="0.25">
      <c r="D1272" s="166"/>
      <c r="E1272" s="166"/>
    </row>
    <row r="1273" spans="4:5" s="2" customFormat="1" x14ac:dyDescent="0.25">
      <c r="D1273" s="166"/>
      <c r="E1273" s="166"/>
    </row>
    <row r="1274" spans="4:5" s="2" customFormat="1" x14ac:dyDescent="0.25">
      <c r="D1274" s="166"/>
      <c r="E1274" s="166"/>
    </row>
    <row r="1275" spans="4:5" s="2" customFormat="1" x14ac:dyDescent="0.25">
      <c r="D1275" s="166"/>
      <c r="E1275" s="166"/>
    </row>
    <row r="1276" spans="4:5" s="2" customFormat="1" x14ac:dyDescent="0.25">
      <c r="D1276" s="166"/>
      <c r="E1276" s="166"/>
    </row>
    <row r="1277" spans="4:5" s="2" customFormat="1" x14ac:dyDescent="0.25">
      <c r="D1277" s="166"/>
      <c r="E1277" s="166"/>
    </row>
    <row r="1278" spans="4:5" s="2" customFormat="1" x14ac:dyDescent="0.25">
      <c r="D1278" s="166"/>
      <c r="E1278" s="166"/>
    </row>
    <row r="1279" spans="4:5" s="2" customFormat="1" x14ac:dyDescent="0.25">
      <c r="D1279" s="166"/>
      <c r="E1279" s="166"/>
    </row>
    <row r="1280" spans="4:5" s="2" customFormat="1" x14ac:dyDescent="0.25">
      <c r="D1280" s="166"/>
      <c r="E1280" s="166"/>
    </row>
    <row r="1281" spans="4:5" s="2" customFormat="1" x14ac:dyDescent="0.25">
      <c r="D1281" s="166"/>
      <c r="E1281" s="166"/>
    </row>
    <row r="1282" spans="4:5" s="2" customFormat="1" x14ac:dyDescent="0.25">
      <c r="D1282" s="166"/>
      <c r="E1282" s="166"/>
    </row>
    <row r="1283" spans="4:5" s="2" customFormat="1" x14ac:dyDescent="0.25">
      <c r="D1283" s="166"/>
      <c r="E1283" s="166"/>
    </row>
    <row r="1284" spans="4:5" s="2" customFormat="1" x14ac:dyDescent="0.25">
      <c r="D1284" s="166"/>
      <c r="E1284" s="166"/>
    </row>
    <row r="1285" spans="4:5" s="2" customFormat="1" x14ac:dyDescent="0.25">
      <c r="D1285" s="166"/>
      <c r="E1285" s="166"/>
    </row>
    <row r="1286" spans="4:5" s="2" customFormat="1" x14ac:dyDescent="0.25">
      <c r="D1286" s="166"/>
      <c r="E1286" s="166"/>
    </row>
    <row r="1287" spans="4:5" s="2" customFormat="1" x14ac:dyDescent="0.25">
      <c r="D1287" s="166"/>
      <c r="E1287" s="166"/>
    </row>
    <row r="1288" spans="4:5" s="2" customFormat="1" x14ac:dyDescent="0.25">
      <c r="D1288" s="166"/>
      <c r="E1288" s="166"/>
    </row>
    <row r="1289" spans="4:5" s="2" customFormat="1" x14ac:dyDescent="0.25">
      <c r="D1289" s="166"/>
      <c r="E1289" s="166"/>
    </row>
    <row r="1290" spans="4:5" s="2" customFormat="1" x14ac:dyDescent="0.25">
      <c r="D1290" s="166"/>
      <c r="E1290" s="166"/>
    </row>
    <row r="1291" spans="4:5" s="2" customFormat="1" x14ac:dyDescent="0.25">
      <c r="D1291" s="166"/>
      <c r="E1291" s="166"/>
    </row>
    <row r="1292" spans="4:5" s="2" customFormat="1" x14ac:dyDescent="0.25">
      <c r="D1292" s="166"/>
      <c r="E1292" s="166"/>
    </row>
    <row r="1293" spans="4:5" s="2" customFormat="1" x14ac:dyDescent="0.25">
      <c r="D1293" s="166"/>
      <c r="E1293" s="166"/>
    </row>
    <row r="1294" spans="4:5" s="2" customFormat="1" x14ac:dyDescent="0.25">
      <c r="D1294" s="166"/>
      <c r="E1294" s="166"/>
    </row>
    <row r="1295" spans="4:5" s="2" customFormat="1" x14ac:dyDescent="0.25">
      <c r="D1295" s="166"/>
      <c r="E1295" s="166"/>
    </row>
    <row r="1296" spans="4:5" s="2" customFormat="1" x14ac:dyDescent="0.25">
      <c r="D1296" s="166"/>
      <c r="E1296" s="166"/>
    </row>
    <row r="1297" spans="4:5" s="2" customFormat="1" x14ac:dyDescent="0.25">
      <c r="D1297" s="166"/>
      <c r="E1297" s="166"/>
    </row>
    <row r="1298" spans="4:5" s="2" customFormat="1" x14ac:dyDescent="0.25">
      <c r="D1298" s="166"/>
      <c r="E1298" s="166"/>
    </row>
    <row r="1299" spans="4:5" s="2" customFormat="1" x14ac:dyDescent="0.25">
      <c r="D1299" s="166"/>
      <c r="E1299" s="166"/>
    </row>
    <row r="1300" spans="4:5" s="2" customFormat="1" x14ac:dyDescent="0.25">
      <c r="D1300" s="166"/>
      <c r="E1300" s="166"/>
    </row>
    <row r="1301" spans="4:5" s="2" customFormat="1" x14ac:dyDescent="0.25">
      <c r="D1301" s="166"/>
      <c r="E1301" s="166"/>
    </row>
    <row r="1302" spans="4:5" s="2" customFormat="1" x14ac:dyDescent="0.25">
      <c r="D1302" s="166"/>
      <c r="E1302" s="166"/>
    </row>
    <row r="1303" spans="4:5" s="2" customFormat="1" x14ac:dyDescent="0.25">
      <c r="D1303" s="166"/>
      <c r="E1303" s="166"/>
    </row>
    <row r="1304" spans="4:5" s="2" customFormat="1" x14ac:dyDescent="0.25">
      <c r="D1304" s="166"/>
      <c r="E1304" s="166"/>
    </row>
    <row r="1305" spans="4:5" s="2" customFormat="1" x14ac:dyDescent="0.25">
      <c r="D1305" s="166"/>
      <c r="E1305" s="166"/>
    </row>
    <row r="1306" spans="4:5" s="2" customFormat="1" x14ac:dyDescent="0.25">
      <c r="D1306" s="166"/>
      <c r="E1306" s="166"/>
    </row>
    <row r="1307" spans="4:5" s="2" customFormat="1" x14ac:dyDescent="0.25">
      <c r="D1307" s="166"/>
      <c r="E1307" s="166"/>
    </row>
    <row r="1308" spans="4:5" s="2" customFormat="1" x14ac:dyDescent="0.25">
      <c r="D1308" s="166"/>
      <c r="E1308" s="166"/>
    </row>
    <row r="1309" spans="4:5" s="2" customFormat="1" x14ac:dyDescent="0.25">
      <c r="D1309" s="166"/>
      <c r="E1309" s="166"/>
    </row>
    <row r="1310" spans="4:5" s="2" customFormat="1" x14ac:dyDescent="0.25">
      <c r="D1310" s="166"/>
      <c r="E1310" s="166"/>
    </row>
    <row r="1311" spans="4:5" s="2" customFormat="1" x14ac:dyDescent="0.25">
      <c r="D1311" s="166"/>
      <c r="E1311" s="166"/>
    </row>
    <row r="1312" spans="4:5" s="2" customFormat="1" x14ac:dyDescent="0.25">
      <c r="D1312" s="166"/>
      <c r="E1312" s="166"/>
    </row>
    <row r="1313" spans="4:5" s="2" customFormat="1" x14ac:dyDescent="0.25">
      <c r="D1313" s="166"/>
      <c r="E1313" s="166"/>
    </row>
    <row r="1314" spans="4:5" s="2" customFormat="1" x14ac:dyDescent="0.25">
      <c r="D1314" s="166"/>
      <c r="E1314" s="166"/>
    </row>
    <row r="1315" spans="4:5" s="2" customFormat="1" x14ac:dyDescent="0.25">
      <c r="D1315" s="166"/>
      <c r="E1315" s="166"/>
    </row>
    <row r="1316" spans="4:5" s="2" customFormat="1" x14ac:dyDescent="0.25">
      <c r="D1316" s="166"/>
      <c r="E1316" s="166"/>
    </row>
    <row r="1317" spans="4:5" s="2" customFormat="1" x14ac:dyDescent="0.25">
      <c r="D1317" s="166"/>
      <c r="E1317" s="166"/>
    </row>
    <row r="1318" spans="4:5" s="2" customFormat="1" x14ac:dyDescent="0.25">
      <c r="D1318" s="166"/>
      <c r="E1318" s="166"/>
    </row>
    <row r="1319" spans="4:5" s="2" customFormat="1" x14ac:dyDescent="0.25">
      <c r="D1319" s="166"/>
      <c r="E1319" s="166"/>
    </row>
    <row r="1320" spans="4:5" s="2" customFormat="1" x14ac:dyDescent="0.25">
      <c r="D1320" s="166"/>
      <c r="E1320" s="166"/>
    </row>
    <row r="1321" spans="4:5" s="2" customFormat="1" x14ac:dyDescent="0.25">
      <c r="D1321" s="166"/>
      <c r="E1321" s="166"/>
    </row>
    <row r="1322" spans="4:5" s="2" customFormat="1" x14ac:dyDescent="0.25">
      <c r="D1322" s="166"/>
      <c r="E1322" s="166"/>
    </row>
    <row r="1323" spans="4:5" s="2" customFormat="1" x14ac:dyDescent="0.25">
      <c r="D1323" s="166"/>
      <c r="E1323" s="166"/>
    </row>
    <row r="1324" spans="4:5" s="2" customFormat="1" x14ac:dyDescent="0.25">
      <c r="D1324" s="166"/>
      <c r="E1324" s="166"/>
    </row>
    <row r="1325" spans="4:5" s="2" customFormat="1" x14ac:dyDescent="0.25">
      <c r="D1325" s="166"/>
      <c r="E1325" s="166"/>
    </row>
    <row r="1326" spans="4:5" s="2" customFormat="1" x14ac:dyDescent="0.25">
      <c r="D1326" s="166"/>
      <c r="E1326" s="166"/>
    </row>
    <row r="1327" spans="4:5" s="2" customFormat="1" x14ac:dyDescent="0.25">
      <c r="D1327" s="166"/>
      <c r="E1327" s="166"/>
    </row>
    <row r="1328" spans="4:5" s="2" customFormat="1" x14ac:dyDescent="0.25">
      <c r="D1328" s="166"/>
      <c r="E1328" s="166"/>
    </row>
    <row r="1329" spans="4:5" s="2" customFormat="1" x14ac:dyDescent="0.25">
      <c r="D1329" s="166"/>
      <c r="E1329" s="166"/>
    </row>
    <row r="1330" spans="4:5" s="2" customFormat="1" x14ac:dyDescent="0.25">
      <c r="D1330" s="166"/>
      <c r="E1330" s="166"/>
    </row>
    <row r="1331" spans="4:5" s="2" customFormat="1" x14ac:dyDescent="0.25">
      <c r="D1331" s="166"/>
      <c r="E1331" s="166"/>
    </row>
    <row r="1332" spans="4:5" s="2" customFormat="1" x14ac:dyDescent="0.25">
      <c r="D1332" s="166"/>
      <c r="E1332" s="166"/>
    </row>
    <row r="1333" spans="4:5" s="2" customFormat="1" x14ac:dyDescent="0.25">
      <c r="D1333" s="166"/>
      <c r="E1333" s="166"/>
    </row>
    <row r="1334" spans="4:5" s="2" customFormat="1" x14ac:dyDescent="0.25">
      <c r="D1334" s="166"/>
      <c r="E1334" s="166"/>
    </row>
    <row r="1335" spans="4:5" s="2" customFormat="1" x14ac:dyDescent="0.25">
      <c r="D1335" s="166"/>
      <c r="E1335" s="166"/>
    </row>
    <row r="1336" spans="4:5" s="2" customFormat="1" x14ac:dyDescent="0.25">
      <c r="D1336" s="166"/>
      <c r="E1336" s="166"/>
    </row>
    <row r="1337" spans="4:5" s="2" customFormat="1" x14ac:dyDescent="0.25">
      <c r="D1337" s="166"/>
      <c r="E1337" s="166"/>
    </row>
    <row r="1338" spans="4:5" s="2" customFormat="1" x14ac:dyDescent="0.25">
      <c r="D1338" s="166"/>
      <c r="E1338" s="166"/>
    </row>
    <row r="1339" spans="4:5" s="2" customFormat="1" x14ac:dyDescent="0.25">
      <c r="D1339" s="166"/>
      <c r="E1339" s="166"/>
    </row>
    <row r="1340" spans="4:5" s="2" customFormat="1" x14ac:dyDescent="0.25">
      <c r="D1340" s="166"/>
      <c r="E1340" s="166"/>
    </row>
    <row r="1341" spans="4:5" s="2" customFormat="1" x14ac:dyDescent="0.25">
      <c r="D1341" s="166"/>
      <c r="E1341" s="166"/>
    </row>
    <row r="1342" spans="4:5" s="2" customFormat="1" x14ac:dyDescent="0.25">
      <c r="D1342" s="166"/>
      <c r="E1342" s="166"/>
    </row>
    <row r="1343" spans="4:5" s="2" customFormat="1" x14ac:dyDescent="0.25">
      <c r="D1343" s="166"/>
      <c r="E1343" s="166"/>
    </row>
    <row r="1344" spans="4:5" s="2" customFormat="1" x14ac:dyDescent="0.25">
      <c r="D1344" s="166"/>
      <c r="E1344" s="166"/>
    </row>
    <row r="1345" spans="4:5" s="2" customFormat="1" x14ac:dyDescent="0.25">
      <c r="D1345" s="166"/>
      <c r="E1345" s="166"/>
    </row>
    <row r="1346" spans="4:5" s="2" customFormat="1" x14ac:dyDescent="0.25">
      <c r="D1346" s="166"/>
      <c r="E1346" s="166"/>
    </row>
    <row r="1347" spans="4:5" s="2" customFormat="1" x14ac:dyDescent="0.25">
      <c r="D1347" s="166"/>
      <c r="E1347" s="166"/>
    </row>
    <row r="1348" spans="4:5" s="2" customFormat="1" x14ac:dyDescent="0.25">
      <c r="D1348" s="166"/>
      <c r="E1348" s="166"/>
    </row>
    <row r="1349" spans="4:5" s="2" customFormat="1" x14ac:dyDescent="0.25">
      <c r="D1349" s="166"/>
      <c r="E1349" s="166"/>
    </row>
    <row r="1350" spans="4:5" s="2" customFormat="1" x14ac:dyDescent="0.25">
      <c r="D1350" s="166"/>
      <c r="E1350" s="166"/>
    </row>
    <row r="1351" spans="4:5" s="2" customFormat="1" x14ac:dyDescent="0.25">
      <c r="D1351" s="166"/>
      <c r="E1351" s="166"/>
    </row>
    <row r="1352" spans="4:5" s="2" customFormat="1" x14ac:dyDescent="0.25">
      <c r="D1352" s="166"/>
      <c r="E1352" s="166"/>
    </row>
    <row r="1353" spans="4:5" s="2" customFormat="1" x14ac:dyDescent="0.25">
      <c r="D1353" s="166"/>
      <c r="E1353" s="166"/>
    </row>
    <row r="1354" spans="4:5" s="2" customFormat="1" x14ac:dyDescent="0.25">
      <c r="D1354" s="166"/>
      <c r="E1354" s="166"/>
    </row>
    <row r="1355" spans="4:5" s="2" customFormat="1" x14ac:dyDescent="0.25">
      <c r="D1355" s="166"/>
      <c r="E1355" s="166"/>
    </row>
    <row r="1356" spans="4:5" s="2" customFormat="1" x14ac:dyDescent="0.25">
      <c r="D1356" s="166"/>
      <c r="E1356" s="166"/>
    </row>
    <row r="1357" spans="4:5" s="2" customFormat="1" x14ac:dyDescent="0.25">
      <c r="D1357" s="166"/>
      <c r="E1357" s="166"/>
    </row>
    <row r="1358" spans="4:5" s="2" customFormat="1" x14ac:dyDescent="0.25">
      <c r="D1358" s="166"/>
      <c r="E1358" s="166"/>
    </row>
    <row r="1359" spans="4:5" s="2" customFormat="1" x14ac:dyDescent="0.25">
      <c r="D1359" s="166"/>
      <c r="E1359" s="166"/>
    </row>
    <row r="1360" spans="4:5" s="2" customFormat="1" x14ac:dyDescent="0.25">
      <c r="D1360" s="166"/>
      <c r="E1360" s="166"/>
    </row>
    <row r="1361" spans="4:5" s="2" customFormat="1" x14ac:dyDescent="0.25">
      <c r="D1361" s="166"/>
      <c r="E1361" s="166"/>
    </row>
    <row r="1362" spans="4:5" s="2" customFormat="1" x14ac:dyDescent="0.25">
      <c r="D1362" s="166"/>
      <c r="E1362" s="166"/>
    </row>
    <row r="1363" spans="4:5" s="2" customFormat="1" x14ac:dyDescent="0.25">
      <c r="D1363" s="166"/>
      <c r="E1363" s="166"/>
    </row>
    <row r="1364" spans="4:5" s="2" customFormat="1" x14ac:dyDescent="0.25">
      <c r="D1364" s="166"/>
      <c r="E1364" s="166"/>
    </row>
    <row r="1365" spans="4:5" s="2" customFormat="1" x14ac:dyDescent="0.25">
      <c r="D1365" s="166"/>
      <c r="E1365" s="166"/>
    </row>
    <row r="1366" spans="4:5" s="2" customFormat="1" x14ac:dyDescent="0.25">
      <c r="D1366" s="166"/>
      <c r="E1366" s="166"/>
    </row>
    <row r="1367" spans="4:5" s="2" customFormat="1" x14ac:dyDescent="0.25">
      <c r="D1367" s="166"/>
      <c r="E1367" s="166"/>
    </row>
    <row r="1368" spans="4:5" s="2" customFormat="1" x14ac:dyDescent="0.25">
      <c r="D1368" s="166"/>
      <c r="E1368" s="166"/>
    </row>
    <row r="1369" spans="4:5" s="2" customFormat="1" x14ac:dyDescent="0.25">
      <c r="D1369" s="166"/>
      <c r="E1369" s="166"/>
    </row>
    <row r="1370" spans="4:5" s="2" customFormat="1" x14ac:dyDescent="0.25">
      <c r="D1370" s="166"/>
      <c r="E1370" s="166"/>
    </row>
    <row r="1371" spans="4:5" s="2" customFormat="1" x14ac:dyDescent="0.25">
      <c r="D1371" s="166"/>
      <c r="E1371" s="166"/>
    </row>
    <row r="1372" spans="4:5" s="2" customFormat="1" x14ac:dyDescent="0.25">
      <c r="D1372" s="166"/>
      <c r="E1372" s="166"/>
    </row>
    <row r="1373" spans="4:5" s="2" customFormat="1" x14ac:dyDescent="0.25">
      <c r="D1373" s="166"/>
      <c r="E1373" s="166"/>
    </row>
    <row r="1374" spans="4:5" s="2" customFormat="1" x14ac:dyDescent="0.25">
      <c r="D1374" s="166"/>
      <c r="E1374" s="166"/>
    </row>
    <row r="1375" spans="4:5" s="2" customFormat="1" x14ac:dyDescent="0.25">
      <c r="D1375" s="166"/>
      <c r="E1375" s="166"/>
    </row>
    <row r="1376" spans="4:5" s="2" customFormat="1" x14ac:dyDescent="0.25">
      <c r="D1376" s="166"/>
      <c r="E1376" s="166"/>
    </row>
    <row r="1377" spans="4:5" s="2" customFormat="1" x14ac:dyDescent="0.25">
      <c r="D1377" s="166"/>
      <c r="E1377" s="166"/>
    </row>
    <row r="1378" spans="4:5" s="2" customFormat="1" x14ac:dyDescent="0.25">
      <c r="D1378" s="166"/>
      <c r="E1378" s="166"/>
    </row>
    <row r="1379" spans="4:5" s="2" customFormat="1" x14ac:dyDescent="0.25">
      <c r="D1379" s="166"/>
      <c r="E1379" s="166"/>
    </row>
    <row r="1380" spans="4:5" s="2" customFormat="1" x14ac:dyDescent="0.25">
      <c r="D1380" s="166"/>
      <c r="E1380" s="166"/>
    </row>
    <row r="1381" spans="4:5" s="2" customFormat="1" x14ac:dyDescent="0.25">
      <c r="D1381" s="166"/>
      <c r="E1381" s="166"/>
    </row>
    <row r="1382" spans="4:5" s="2" customFormat="1" x14ac:dyDescent="0.25">
      <c r="D1382" s="166"/>
      <c r="E1382" s="166"/>
    </row>
    <row r="1383" spans="4:5" s="2" customFormat="1" x14ac:dyDescent="0.25">
      <c r="D1383" s="166"/>
      <c r="E1383" s="166"/>
    </row>
    <row r="1384" spans="4:5" s="2" customFormat="1" x14ac:dyDescent="0.25">
      <c r="D1384" s="166"/>
      <c r="E1384" s="166"/>
    </row>
    <row r="1385" spans="4:5" s="2" customFormat="1" x14ac:dyDescent="0.25">
      <c r="D1385" s="166"/>
      <c r="E1385" s="166"/>
    </row>
    <row r="1386" spans="4:5" s="2" customFormat="1" x14ac:dyDescent="0.25">
      <c r="D1386" s="166"/>
      <c r="E1386" s="166"/>
    </row>
    <row r="1387" spans="4:5" s="2" customFormat="1" x14ac:dyDescent="0.25">
      <c r="D1387" s="166"/>
      <c r="E1387" s="166"/>
    </row>
    <row r="1388" spans="4:5" s="2" customFormat="1" x14ac:dyDescent="0.25">
      <c r="D1388" s="166"/>
      <c r="E1388" s="166"/>
    </row>
    <row r="1389" spans="4:5" s="2" customFormat="1" x14ac:dyDescent="0.25">
      <c r="D1389" s="166"/>
      <c r="E1389" s="166"/>
    </row>
    <row r="1390" spans="4:5" s="2" customFormat="1" x14ac:dyDescent="0.25">
      <c r="D1390" s="166"/>
      <c r="E1390" s="166"/>
    </row>
    <row r="1391" spans="4:5" s="2" customFormat="1" x14ac:dyDescent="0.25">
      <c r="D1391" s="166"/>
      <c r="E1391" s="166"/>
    </row>
    <row r="1392" spans="4:5" s="2" customFormat="1" x14ac:dyDescent="0.25">
      <c r="D1392" s="166"/>
      <c r="E1392" s="166"/>
    </row>
    <row r="1393" spans="4:5" s="2" customFormat="1" x14ac:dyDescent="0.25">
      <c r="D1393" s="166"/>
      <c r="E1393" s="166"/>
    </row>
    <row r="1394" spans="4:5" s="2" customFormat="1" x14ac:dyDescent="0.25">
      <c r="D1394" s="166"/>
      <c r="E1394" s="166"/>
    </row>
    <row r="1395" spans="4:5" s="2" customFormat="1" x14ac:dyDescent="0.25">
      <c r="D1395" s="166"/>
      <c r="E1395" s="166"/>
    </row>
    <row r="1396" spans="4:5" s="2" customFormat="1" x14ac:dyDescent="0.25">
      <c r="D1396" s="166"/>
      <c r="E1396" s="166"/>
    </row>
    <row r="1397" spans="4:5" s="2" customFormat="1" x14ac:dyDescent="0.25">
      <c r="D1397" s="166"/>
      <c r="E1397" s="166"/>
    </row>
    <row r="1398" spans="4:5" s="2" customFormat="1" x14ac:dyDescent="0.25">
      <c r="D1398" s="166"/>
      <c r="E1398" s="166"/>
    </row>
    <row r="1399" spans="4:5" s="2" customFormat="1" x14ac:dyDescent="0.25">
      <c r="D1399" s="166"/>
      <c r="E1399" s="166"/>
    </row>
    <row r="1400" spans="4:5" s="2" customFormat="1" x14ac:dyDescent="0.25">
      <c r="D1400" s="166"/>
      <c r="E1400" s="166"/>
    </row>
    <row r="1401" spans="4:5" s="2" customFormat="1" x14ac:dyDescent="0.25">
      <c r="D1401" s="166"/>
      <c r="E1401" s="166"/>
    </row>
    <row r="1402" spans="4:5" s="2" customFormat="1" x14ac:dyDescent="0.25">
      <c r="D1402" s="166"/>
      <c r="E1402" s="166"/>
    </row>
    <row r="1403" spans="4:5" s="2" customFormat="1" x14ac:dyDescent="0.25">
      <c r="D1403" s="166"/>
      <c r="E1403" s="166"/>
    </row>
    <row r="1404" spans="4:5" s="2" customFormat="1" x14ac:dyDescent="0.25">
      <c r="D1404" s="166"/>
      <c r="E1404" s="166"/>
    </row>
    <row r="1405" spans="4:5" s="2" customFormat="1" x14ac:dyDescent="0.25">
      <c r="D1405" s="166"/>
      <c r="E1405" s="166"/>
    </row>
    <row r="1406" spans="4:5" s="2" customFormat="1" x14ac:dyDescent="0.25">
      <c r="D1406" s="166"/>
      <c r="E1406" s="166"/>
    </row>
    <row r="1407" spans="4:5" s="2" customFormat="1" x14ac:dyDescent="0.25">
      <c r="D1407" s="166"/>
      <c r="E1407" s="166"/>
    </row>
    <row r="1408" spans="4:5" s="2" customFormat="1" x14ac:dyDescent="0.25">
      <c r="D1408" s="166"/>
      <c r="E1408" s="166"/>
    </row>
    <row r="1409" spans="4:5" s="2" customFormat="1" x14ac:dyDescent="0.25">
      <c r="D1409" s="166"/>
      <c r="E1409" s="166"/>
    </row>
    <row r="1410" spans="4:5" s="2" customFormat="1" x14ac:dyDescent="0.25">
      <c r="D1410" s="166"/>
      <c r="E1410" s="166"/>
    </row>
    <row r="1411" spans="4:5" s="2" customFormat="1" x14ac:dyDescent="0.25">
      <c r="D1411" s="166"/>
      <c r="E1411" s="166"/>
    </row>
    <row r="1412" spans="4:5" s="2" customFormat="1" x14ac:dyDescent="0.25">
      <c r="D1412" s="166"/>
      <c r="E1412" s="166"/>
    </row>
    <row r="1413" spans="4:5" s="2" customFormat="1" x14ac:dyDescent="0.25">
      <c r="D1413" s="166"/>
      <c r="E1413" s="166"/>
    </row>
    <row r="1414" spans="4:5" s="2" customFormat="1" x14ac:dyDescent="0.25">
      <c r="D1414" s="166"/>
      <c r="E1414" s="166"/>
    </row>
    <row r="1415" spans="4:5" s="2" customFormat="1" x14ac:dyDescent="0.25">
      <c r="D1415" s="166"/>
      <c r="E1415" s="166"/>
    </row>
  </sheetData>
  <sheetProtection algorithmName="SHA-512" hashValue="6D1vVSyQQg5XfsvXE4W+ylK8V2AQ/pEQw5xwgJFiQNPSgNFNCz9fjRjHMhd49mxhUcLU5ChmV4Hd6ZYBabhV5g==" saltValue="+euTU+kcXWKLPYbC2oxtSw==" spinCount="100000" sheet="1" objects="1" scenarios="1" selectLockedCells="1"/>
  <mergeCells count="2">
    <mergeCell ref="C2:D2"/>
    <mergeCell ref="B4:F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17B6D-456C-46D1-8516-19ADEF0B0AD9}">
  <dimension ref="A1"/>
  <sheetViews>
    <sheetView zoomScale="85" zoomScaleNormal="85" workbookViewId="0">
      <selection activeCell="AE40" sqref="AE40"/>
    </sheetView>
  </sheetViews>
  <sheetFormatPr defaultColWidth="8.85546875" defaultRowHeight="15" x14ac:dyDescent="0.25"/>
  <cols>
    <col min="1" max="16384" width="8.85546875" style="140"/>
  </cols>
  <sheetData/>
  <sheetProtection algorithmName="SHA-512" hashValue="Wj5fz6/9MWWOXfaRiM6d3l/EV/uxN0L9BNv0ct/Gh3h8OqDez5E4+cH+bizeTSKyLCcqrccePVRjv3KXJ7VK9Q==" saltValue="J7sx29/lDnTUNoEWDipjiA==" spinCount="100000" sheet="1" objects="1" scenarios="1" selectLockedCells="1"/>
  <pageMargins left="0" right="0" top="0" bottom="0" header="0" footer="0"/>
  <pageSetup scale="57"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764F9-CB09-424E-95DB-C31A8B2B915E}">
  <dimension ref="B2:P67"/>
  <sheetViews>
    <sheetView zoomScaleNormal="100" workbookViewId="0">
      <selection activeCell="N143" sqref="N143"/>
    </sheetView>
  </sheetViews>
  <sheetFormatPr defaultColWidth="9.140625" defaultRowHeight="15" x14ac:dyDescent="0.25"/>
  <cols>
    <col min="1" max="16384" width="9.140625" style="140"/>
  </cols>
  <sheetData>
    <row r="2" spans="2:2" ht="24" x14ac:dyDescent="0.4">
      <c r="B2" s="139" t="s">
        <v>399</v>
      </c>
    </row>
    <row r="4" spans="2:2" ht="15.75" x14ac:dyDescent="0.25">
      <c r="B4" s="141" t="s">
        <v>400</v>
      </c>
    </row>
    <row r="5" spans="2:2" x14ac:dyDescent="0.25">
      <c r="B5" s="142" t="s">
        <v>578</v>
      </c>
    </row>
    <row r="6" spans="2:2" x14ac:dyDescent="0.25">
      <c r="B6" s="142" t="s">
        <v>406</v>
      </c>
    </row>
    <row r="7" spans="2:2" x14ac:dyDescent="0.25">
      <c r="B7" s="142" t="s">
        <v>407</v>
      </c>
    </row>
    <row r="8" spans="2:2" x14ac:dyDescent="0.25">
      <c r="B8" s="142" t="s">
        <v>408</v>
      </c>
    </row>
    <row r="9" spans="2:2" ht="15.75" x14ac:dyDescent="0.25">
      <c r="B9" s="141" t="s">
        <v>401</v>
      </c>
    </row>
    <row r="10" spans="2:2" x14ac:dyDescent="0.25">
      <c r="B10" s="142" t="s">
        <v>416</v>
      </c>
    </row>
    <row r="11" spans="2:2" x14ac:dyDescent="0.25">
      <c r="B11" s="142" t="s">
        <v>409</v>
      </c>
    </row>
    <row r="12" spans="2:2" ht="15.75" x14ac:dyDescent="0.25">
      <c r="B12" s="141" t="s">
        <v>402</v>
      </c>
    </row>
    <row r="13" spans="2:2" x14ac:dyDescent="0.25">
      <c r="B13" s="142" t="s">
        <v>411</v>
      </c>
    </row>
    <row r="14" spans="2:2" x14ac:dyDescent="0.25">
      <c r="B14" s="142" t="s">
        <v>410</v>
      </c>
    </row>
    <row r="15" spans="2:2" ht="15.75" x14ac:dyDescent="0.25">
      <c r="B15" s="141" t="s">
        <v>403</v>
      </c>
    </row>
    <row r="16" spans="2:2" x14ac:dyDescent="0.25">
      <c r="B16" s="142" t="s">
        <v>417</v>
      </c>
    </row>
    <row r="17" spans="2:16" x14ac:dyDescent="0.25">
      <c r="B17" s="143" t="s">
        <v>418</v>
      </c>
    </row>
    <row r="18" spans="2:16" x14ac:dyDescent="0.25">
      <c r="B18" s="142" t="s">
        <v>412</v>
      </c>
    </row>
    <row r="19" spans="2:16" ht="15.75" x14ac:dyDescent="0.25">
      <c r="B19" s="141" t="s">
        <v>404</v>
      </c>
    </row>
    <row r="20" spans="2:16" ht="24" x14ac:dyDescent="0.4">
      <c r="B20" s="142" t="s">
        <v>413</v>
      </c>
      <c r="O20" s="139" t="s">
        <v>420</v>
      </c>
    </row>
    <row r="21" spans="2:16" x14ac:dyDescent="0.25">
      <c r="B21" s="142" t="s">
        <v>414</v>
      </c>
      <c r="O21" s="140" t="s">
        <v>428</v>
      </c>
    </row>
    <row r="22" spans="2:16" ht="15.75" x14ac:dyDescent="0.25">
      <c r="B22" s="141" t="s">
        <v>405</v>
      </c>
      <c r="O22" s="143" t="s">
        <v>421</v>
      </c>
      <c r="P22" s="142"/>
    </row>
    <row r="23" spans="2:16" x14ac:dyDescent="0.25">
      <c r="B23" s="142" t="s">
        <v>415</v>
      </c>
      <c r="O23" s="143" t="s">
        <v>422</v>
      </c>
      <c r="P23" s="142"/>
    </row>
    <row r="24" spans="2:16" x14ac:dyDescent="0.25">
      <c r="O24" s="143" t="s">
        <v>423</v>
      </c>
      <c r="P24" s="142"/>
    </row>
    <row r="25" spans="2:16" ht="24" x14ac:dyDescent="0.4">
      <c r="B25" s="139" t="s">
        <v>419</v>
      </c>
      <c r="O25" s="140" t="s">
        <v>429</v>
      </c>
    </row>
    <row r="26" spans="2:16" ht="21" customHeight="1" x14ac:dyDescent="0.25">
      <c r="O26" s="140" t="s">
        <v>430</v>
      </c>
    </row>
    <row r="27" spans="2:16" ht="22.5" customHeight="1" x14ac:dyDescent="0.25">
      <c r="O27" s="140" t="s">
        <v>431</v>
      </c>
    </row>
    <row r="28" spans="2:16" x14ac:dyDescent="0.25">
      <c r="O28" s="143" t="s">
        <v>424</v>
      </c>
    </row>
    <row r="29" spans="2:16" x14ac:dyDescent="0.25">
      <c r="O29" s="143" t="s">
        <v>425</v>
      </c>
    </row>
    <row r="30" spans="2:16" x14ac:dyDescent="0.25">
      <c r="O30" s="143" t="s">
        <v>426</v>
      </c>
    </row>
    <row r="31" spans="2:16" x14ac:dyDescent="0.25">
      <c r="O31" s="143" t="s">
        <v>427</v>
      </c>
    </row>
    <row r="50" spans="2:2" ht="24" x14ac:dyDescent="0.4">
      <c r="B50" s="139" t="s">
        <v>432</v>
      </c>
    </row>
    <row r="52" spans="2:2" x14ac:dyDescent="0.25">
      <c r="B52" s="140" t="s">
        <v>433</v>
      </c>
    </row>
    <row r="53" spans="2:2" x14ac:dyDescent="0.25">
      <c r="B53" s="140" t="s">
        <v>434</v>
      </c>
    </row>
    <row r="54" spans="2:2" x14ac:dyDescent="0.25">
      <c r="B54" s="140" t="s">
        <v>435</v>
      </c>
    </row>
    <row r="55" spans="2:2" x14ac:dyDescent="0.25">
      <c r="B55" s="140" t="s">
        <v>436</v>
      </c>
    </row>
    <row r="56" spans="2:2" x14ac:dyDescent="0.25">
      <c r="B56" s="140" t="s">
        <v>437</v>
      </c>
    </row>
    <row r="59" spans="2:2" ht="24" x14ac:dyDescent="0.4">
      <c r="B59" s="139" t="s">
        <v>438</v>
      </c>
    </row>
    <row r="61" spans="2:2" x14ac:dyDescent="0.25">
      <c r="B61" s="140" t="s">
        <v>439</v>
      </c>
    </row>
    <row r="62" spans="2:2" x14ac:dyDescent="0.25">
      <c r="B62" s="142" t="s">
        <v>440</v>
      </c>
    </row>
    <row r="63" spans="2:2" x14ac:dyDescent="0.25">
      <c r="B63" s="140" t="s">
        <v>441</v>
      </c>
    </row>
    <row r="64" spans="2:2" x14ac:dyDescent="0.25">
      <c r="B64" s="142" t="s">
        <v>442</v>
      </c>
    </row>
    <row r="65" spans="2:2" x14ac:dyDescent="0.25">
      <c r="B65" s="140" t="s">
        <v>443</v>
      </c>
    </row>
    <row r="66" spans="2:2" x14ac:dyDescent="0.25">
      <c r="B66" s="142" t="s">
        <v>445</v>
      </c>
    </row>
    <row r="67" spans="2:2" x14ac:dyDescent="0.25">
      <c r="B67" s="142" t="s">
        <v>444</v>
      </c>
    </row>
  </sheetData>
  <sheetProtection algorithmName="SHA-512" hashValue="s1xWF1Uf5MIhAzT2yHL0P7eMFPMwNHbVFbKPq52ch2+waa+TDqSKX6zHY+TEVcUrHh0WmMOYQhxSrb1lBlh6GQ==" saltValue="L5eeI08SPtFCd2XlrIcFlA==" spinCount="100000" sheet="1" objects="1" scenarios="1" selectLockedCell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8B5E3-8CDD-4905-BE2A-84092F1012D9}">
  <dimension ref="B2:P31"/>
  <sheetViews>
    <sheetView zoomScaleNormal="100" workbookViewId="0">
      <selection activeCell="O135" sqref="O135"/>
    </sheetView>
  </sheetViews>
  <sheetFormatPr defaultColWidth="9.140625" defaultRowHeight="14.25" customHeight="1" x14ac:dyDescent="0.25"/>
  <cols>
    <col min="1" max="16384" width="9.140625" style="140"/>
  </cols>
  <sheetData>
    <row r="2" spans="2:2" ht="14.25" customHeight="1" x14ac:dyDescent="0.4">
      <c r="B2" s="139"/>
    </row>
    <row r="4" spans="2:2" ht="14.25" customHeight="1" x14ac:dyDescent="0.25">
      <c r="B4" s="141"/>
    </row>
    <row r="5" spans="2:2" ht="14.25" customHeight="1" x14ac:dyDescent="0.25">
      <c r="B5" s="142"/>
    </row>
    <row r="6" spans="2:2" ht="14.25" customHeight="1" x14ac:dyDescent="0.25">
      <c r="B6" s="142"/>
    </row>
    <row r="7" spans="2:2" ht="14.25" customHeight="1" x14ac:dyDescent="0.25">
      <c r="B7" s="142"/>
    </row>
    <row r="8" spans="2:2" ht="14.25" customHeight="1" x14ac:dyDescent="0.25">
      <c r="B8" s="142"/>
    </row>
    <row r="9" spans="2:2" ht="14.25" customHeight="1" x14ac:dyDescent="0.25">
      <c r="B9" s="141"/>
    </row>
    <row r="10" spans="2:2" ht="14.25" customHeight="1" x14ac:dyDescent="0.25">
      <c r="B10" s="142"/>
    </row>
    <row r="11" spans="2:2" ht="14.25" customHeight="1" x14ac:dyDescent="0.25">
      <c r="B11" s="142"/>
    </row>
    <row r="12" spans="2:2" ht="14.25" customHeight="1" x14ac:dyDescent="0.25">
      <c r="B12" s="141"/>
    </row>
    <row r="13" spans="2:2" ht="14.25" customHeight="1" x14ac:dyDescent="0.25">
      <c r="B13" s="142"/>
    </row>
    <row r="14" spans="2:2" ht="14.25" customHeight="1" x14ac:dyDescent="0.25">
      <c r="B14" s="142"/>
    </row>
    <row r="15" spans="2:2" ht="14.25" customHeight="1" x14ac:dyDescent="0.25">
      <c r="B15" s="141"/>
    </row>
    <row r="16" spans="2:2" ht="14.25" customHeight="1" x14ac:dyDescent="0.25">
      <c r="B16" s="142"/>
    </row>
    <row r="17" spans="2:16" ht="14.25" customHeight="1" x14ac:dyDescent="0.25">
      <c r="B17" s="143"/>
    </row>
    <row r="18" spans="2:16" ht="14.25" customHeight="1" x14ac:dyDescent="0.25">
      <c r="B18" s="142"/>
    </row>
    <row r="19" spans="2:16" ht="14.25" customHeight="1" x14ac:dyDescent="0.25">
      <c r="B19" s="141"/>
    </row>
    <row r="20" spans="2:16" ht="14.25" customHeight="1" x14ac:dyDescent="0.4">
      <c r="B20" s="142"/>
      <c r="O20" s="139"/>
    </row>
    <row r="21" spans="2:16" ht="14.25" customHeight="1" x14ac:dyDescent="0.25">
      <c r="B21" s="142"/>
    </row>
    <row r="22" spans="2:16" ht="14.25" customHeight="1" x14ac:dyDescent="0.25">
      <c r="B22" s="141"/>
      <c r="O22" s="143"/>
      <c r="P22" s="142"/>
    </row>
    <row r="23" spans="2:16" ht="14.25" customHeight="1" x14ac:dyDescent="0.25">
      <c r="B23" s="142"/>
      <c r="O23" s="143"/>
      <c r="P23" s="142"/>
    </row>
    <row r="24" spans="2:16" ht="14.25" customHeight="1" x14ac:dyDescent="0.25">
      <c r="O24" s="143"/>
      <c r="P24" s="142"/>
    </row>
    <row r="25" spans="2:16" ht="14.25" customHeight="1" x14ac:dyDescent="0.4">
      <c r="B25" s="139"/>
    </row>
    <row r="28" spans="2:16" ht="14.25" customHeight="1" x14ac:dyDescent="0.25">
      <c r="O28" s="143"/>
    </row>
    <row r="29" spans="2:16" ht="14.25" customHeight="1" x14ac:dyDescent="0.25">
      <c r="O29" s="143"/>
    </row>
    <row r="30" spans="2:16" ht="14.25" customHeight="1" x14ac:dyDescent="0.25">
      <c r="O30" s="143"/>
    </row>
    <row r="31" spans="2:16" ht="14.25" customHeight="1" x14ac:dyDescent="0.25">
      <c r="O31" s="143"/>
    </row>
  </sheetData>
  <sheetProtection algorithmName="SHA-512" hashValue="ot8JJwrt6pMW2kgxSGtzvXYLDLDC88lOgRe0Z5JU+EdnnnJ2ye6//e3o8dq4rZZVZ2LsqFymj3Z8nU832d4iMA==" saltValue="aR5ump1IGXMb0MGqL3A16g==" spinCount="100000" sheet="1" objects="1" scenarios="1" selectLockedCells="1"/>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42B3D-42B4-405D-B817-B4BF94D17E48}">
  <dimension ref="B3:M96"/>
  <sheetViews>
    <sheetView workbookViewId="0">
      <selection activeCell="AD144" sqref="AD144"/>
    </sheetView>
  </sheetViews>
  <sheetFormatPr defaultColWidth="9.140625" defaultRowHeight="15" x14ac:dyDescent="0.25"/>
  <cols>
    <col min="1" max="16384" width="9.140625" style="140"/>
  </cols>
  <sheetData>
    <row r="3" spans="2:2" ht="18.75" x14ac:dyDescent="0.3">
      <c r="B3" s="150" t="s">
        <v>732</v>
      </c>
    </row>
    <row r="5" spans="2:2" x14ac:dyDescent="0.25">
      <c r="B5" s="140" t="s">
        <v>531</v>
      </c>
    </row>
    <row r="7" spans="2:2" x14ac:dyDescent="0.25">
      <c r="B7" s="140" t="s">
        <v>532</v>
      </c>
    </row>
    <row r="10" spans="2:2" x14ac:dyDescent="0.25">
      <c r="B10" s="140" t="s">
        <v>533</v>
      </c>
    </row>
    <row r="28" spans="2:9" x14ac:dyDescent="0.25">
      <c r="B28" s="140" t="s">
        <v>534</v>
      </c>
    </row>
    <row r="29" spans="2:9" x14ac:dyDescent="0.25">
      <c r="B29" s="140" t="s">
        <v>535</v>
      </c>
    </row>
    <row r="30" spans="2:9" x14ac:dyDescent="0.25">
      <c r="B30" s="140" t="s">
        <v>536</v>
      </c>
    </row>
    <row r="32" spans="2:9" x14ac:dyDescent="0.25">
      <c r="I32" s="140" t="s">
        <v>537</v>
      </c>
    </row>
    <row r="33" spans="9:9" x14ac:dyDescent="0.25">
      <c r="I33" s="140" t="s">
        <v>538</v>
      </c>
    </row>
    <row r="34" spans="9:9" x14ac:dyDescent="0.25">
      <c r="I34" s="140" t="s">
        <v>539</v>
      </c>
    </row>
    <row r="36" spans="9:9" x14ac:dyDescent="0.25">
      <c r="I36" s="140" t="s">
        <v>540</v>
      </c>
    </row>
    <row r="37" spans="9:9" x14ac:dyDescent="0.25">
      <c r="I37" s="140" t="s">
        <v>541</v>
      </c>
    </row>
    <row r="38" spans="9:9" x14ac:dyDescent="0.25">
      <c r="I38" s="140" t="s">
        <v>542</v>
      </c>
    </row>
    <row r="40" spans="9:9" x14ac:dyDescent="0.25">
      <c r="I40" s="140" t="s">
        <v>543</v>
      </c>
    </row>
    <row r="41" spans="9:9" x14ac:dyDescent="0.25">
      <c r="I41" s="140" t="s">
        <v>544</v>
      </c>
    </row>
    <row r="57" spans="2:13" ht="18.75" x14ac:dyDescent="0.3">
      <c r="B57" s="150" t="s">
        <v>625</v>
      </c>
    </row>
    <row r="59" spans="2:13" x14ac:dyDescent="0.25">
      <c r="B59" s="140" t="s">
        <v>549</v>
      </c>
    </row>
    <row r="60" spans="2:13" x14ac:dyDescent="0.25">
      <c r="B60" s="140" t="s">
        <v>1224</v>
      </c>
    </row>
    <row r="61" spans="2:13" x14ac:dyDescent="0.25">
      <c r="B61" s="140" t="s">
        <v>550</v>
      </c>
    </row>
    <row r="63" spans="2:13" x14ac:dyDescent="0.25">
      <c r="M63" s="140" t="s">
        <v>551</v>
      </c>
    </row>
    <row r="65" spans="13:13" x14ac:dyDescent="0.25">
      <c r="M65" s="140" t="s">
        <v>552</v>
      </c>
    </row>
    <row r="66" spans="13:13" x14ac:dyDescent="0.25">
      <c r="M66" s="140" t="s">
        <v>553</v>
      </c>
    </row>
    <row r="67" spans="13:13" x14ac:dyDescent="0.25">
      <c r="M67" s="140" t="s">
        <v>554</v>
      </c>
    </row>
    <row r="68" spans="13:13" x14ac:dyDescent="0.25">
      <c r="M68" s="140" t="s">
        <v>555</v>
      </c>
    </row>
    <row r="69" spans="13:13" x14ac:dyDescent="0.25">
      <c r="M69" s="140" t="s">
        <v>556</v>
      </c>
    </row>
    <row r="70" spans="13:13" x14ac:dyDescent="0.25">
      <c r="M70" s="140" t="s">
        <v>557</v>
      </c>
    </row>
    <row r="71" spans="13:13" x14ac:dyDescent="0.25">
      <c r="M71" s="140" t="s">
        <v>558</v>
      </c>
    </row>
    <row r="72" spans="13:13" x14ac:dyDescent="0.25">
      <c r="M72" s="140" t="s">
        <v>559</v>
      </c>
    </row>
    <row r="73" spans="13:13" x14ac:dyDescent="0.25">
      <c r="M73" s="140" t="s">
        <v>560</v>
      </c>
    </row>
    <row r="74" spans="13:13" x14ac:dyDescent="0.25">
      <c r="M74" s="140" t="s">
        <v>561</v>
      </c>
    </row>
    <row r="76" spans="13:13" x14ac:dyDescent="0.25">
      <c r="M76" s="140" t="s">
        <v>562</v>
      </c>
    </row>
    <row r="77" spans="13:13" x14ac:dyDescent="0.25">
      <c r="M77" s="140" t="s">
        <v>566</v>
      </c>
    </row>
    <row r="78" spans="13:13" x14ac:dyDescent="0.25">
      <c r="M78" s="140" t="s">
        <v>563</v>
      </c>
    </row>
    <row r="80" spans="13:13" x14ac:dyDescent="0.25">
      <c r="M80" s="140" t="s">
        <v>564</v>
      </c>
    </row>
    <row r="81" spans="2:13" x14ac:dyDescent="0.25">
      <c r="M81" s="140" t="s">
        <v>565</v>
      </c>
    </row>
    <row r="83" spans="2:13" ht="18.75" x14ac:dyDescent="0.3">
      <c r="B83" s="150" t="s">
        <v>624</v>
      </c>
    </row>
    <row r="85" spans="2:13" x14ac:dyDescent="0.25">
      <c r="B85" s="140" t="s">
        <v>627</v>
      </c>
    </row>
    <row r="87" spans="2:13" ht="18.75" x14ac:dyDescent="0.3">
      <c r="B87" s="150" t="s">
        <v>626</v>
      </c>
    </row>
    <row r="89" spans="2:13" x14ac:dyDescent="0.25">
      <c r="B89" s="140" t="s">
        <v>628</v>
      </c>
    </row>
    <row r="91" spans="2:13" x14ac:dyDescent="0.25">
      <c r="B91" s="140" t="s">
        <v>629</v>
      </c>
    </row>
    <row r="92" spans="2:13" x14ac:dyDescent="0.25">
      <c r="B92" s="140" t="s">
        <v>631</v>
      </c>
    </row>
    <row r="93" spans="2:13" x14ac:dyDescent="0.25">
      <c r="B93" s="140" t="s">
        <v>630</v>
      </c>
    </row>
    <row r="94" spans="2:13" x14ac:dyDescent="0.25">
      <c r="B94" s="140" t="s">
        <v>632</v>
      </c>
    </row>
    <row r="96" spans="2:13" x14ac:dyDescent="0.25">
      <c r="B96" s="140" t="s">
        <v>733</v>
      </c>
    </row>
  </sheetData>
  <sheetProtection algorithmName="SHA-512" hashValue="zpxq6OISiAuH6YtA8kMczIrDH809VOIspDblofm2rYZGfU+Ias75+KchdOFT6148y9/FsEhfRmBXQ3vsuWGRPw==" saltValue="U1Xqx552avqs3F7hn4CCKQ==" spinCount="100000" sheet="1" objects="1" scenarios="1" selectLockedCell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A4529-32B2-4B92-BC02-DD8CC679308D}">
  <dimension ref="A2:N259"/>
  <sheetViews>
    <sheetView workbookViewId="0">
      <selection activeCell="AD323" sqref="AD323"/>
    </sheetView>
  </sheetViews>
  <sheetFormatPr defaultColWidth="9.140625" defaultRowHeight="15" x14ac:dyDescent="0.25"/>
  <cols>
    <col min="1" max="1" width="5.5703125" style="140" customWidth="1"/>
    <col min="2" max="16384" width="9.140625" style="140"/>
  </cols>
  <sheetData>
    <row r="2" spans="1:2" ht="18.75" x14ac:dyDescent="0.3">
      <c r="A2" s="151" t="s">
        <v>546</v>
      </c>
      <c r="B2" s="150" t="s">
        <v>732</v>
      </c>
    </row>
    <row r="4" spans="1:2" x14ac:dyDescent="0.25">
      <c r="B4" s="140" t="s">
        <v>531</v>
      </c>
    </row>
    <row r="6" spans="1:2" x14ac:dyDescent="0.25">
      <c r="B6" s="140" t="s">
        <v>532</v>
      </c>
    </row>
    <row r="9" spans="1:2" x14ac:dyDescent="0.25">
      <c r="B9" s="140" t="s">
        <v>533</v>
      </c>
    </row>
    <row r="27" spans="2:9" x14ac:dyDescent="0.25">
      <c r="B27" s="140" t="s">
        <v>534</v>
      </c>
    </row>
    <row r="28" spans="2:9" x14ac:dyDescent="0.25">
      <c r="B28" s="140" t="s">
        <v>535</v>
      </c>
    </row>
    <row r="29" spans="2:9" x14ac:dyDescent="0.25">
      <c r="B29" s="140" t="s">
        <v>536</v>
      </c>
    </row>
    <row r="31" spans="2:9" x14ac:dyDescent="0.25">
      <c r="I31" s="140" t="s">
        <v>537</v>
      </c>
    </row>
    <row r="32" spans="2:9" x14ac:dyDescent="0.25">
      <c r="I32" s="140" t="s">
        <v>538</v>
      </c>
    </row>
    <row r="33" spans="9:9" x14ac:dyDescent="0.25">
      <c r="I33" s="140" t="s">
        <v>539</v>
      </c>
    </row>
    <row r="35" spans="9:9" x14ac:dyDescent="0.25">
      <c r="I35" s="140" t="s">
        <v>540</v>
      </c>
    </row>
    <row r="36" spans="9:9" x14ac:dyDescent="0.25">
      <c r="I36" s="140" t="s">
        <v>541</v>
      </c>
    </row>
    <row r="37" spans="9:9" x14ac:dyDescent="0.25">
      <c r="I37" s="140" t="s">
        <v>542</v>
      </c>
    </row>
    <row r="39" spans="9:9" x14ac:dyDescent="0.25">
      <c r="I39" s="140" t="s">
        <v>543</v>
      </c>
    </row>
    <row r="40" spans="9:9" x14ac:dyDescent="0.25">
      <c r="I40" s="140" t="s">
        <v>544</v>
      </c>
    </row>
    <row r="55" spans="1:2" ht="18.75" x14ac:dyDescent="0.3">
      <c r="A55" s="151" t="s">
        <v>547</v>
      </c>
      <c r="B55" s="144" t="s">
        <v>811</v>
      </c>
    </row>
    <row r="56" spans="1:2" ht="18.75" x14ac:dyDescent="0.3">
      <c r="B56" s="144"/>
    </row>
    <row r="57" spans="1:2" x14ac:dyDescent="0.25">
      <c r="B57" s="145" t="s">
        <v>449</v>
      </c>
    </row>
    <row r="58" spans="1:2" x14ac:dyDescent="0.25">
      <c r="B58" s="145" t="s">
        <v>450</v>
      </c>
    </row>
    <row r="59" spans="1:2" x14ac:dyDescent="0.25">
      <c r="B59" s="145"/>
    </row>
    <row r="60" spans="1:2" x14ac:dyDescent="0.25">
      <c r="B60" s="145" t="s">
        <v>545</v>
      </c>
    </row>
    <row r="61" spans="1:2" x14ac:dyDescent="0.25">
      <c r="B61" s="145" t="s">
        <v>451</v>
      </c>
    </row>
    <row r="62" spans="1:2" x14ac:dyDescent="0.25">
      <c r="B62" s="145"/>
    </row>
    <row r="63" spans="1:2" x14ac:dyDescent="0.25">
      <c r="B63" s="145" t="s">
        <v>452</v>
      </c>
    </row>
    <row r="64" spans="1:2" x14ac:dyDescent="0.25">
      <c r="B64" s="145" t="s">
        <v>453</v>
      </c>
    </row>
    <row r="65" spans="2:2" x14ac:dyDescent="0.25">
      <c r="B65" s="145" t="s">
        <v>454</v>
      </c>
    </row>
    <row r="66" spans="2:2" x14ac:dyDescent="0.25">
      <c r="B66" s="145"/>
    </row>
    <row r="67" spans="2:2" x14ac:dyDescent="0.25">
      <c r="B67" s="145" t="s">
        <v>455</v>
      </c>
    </row>
    <row r="68" spans="2:2" x14ac:dyDescent="0.25">
      <c r="B68" s="145" t="s">
        <v>567</v>
      </c>
    </row>
    <row r="69" spans="2:2" x14ac:dyDescent="0.25">
      <c r="B69" s="145" t="s">
        <v>456</v>
      </c>
    </row>
    <row r="70" spans="2:2" x14ac:dyDescent="0.25">
      <c r="B70" s="145"/>
    </row>
    <row r="71" spans="2:2" ht="15.75" x14ac:dyDescent="0.25">
      <c r="B71" s="146" t="s">
        <v>812</v>
      </c>
    </row>
    <row r="72" spans="2:2" x14ac:dyDescent="0.25">
      <c r="B72" s="145"/>
    </row>
    <row r="73" spans="2:2" x14ac:dyDescent="0.25">
      <c r="B73" s="148" t="s">
        <v>446</v>
      </c>
    </row>
    <row r="74" spans="2:2" x14ac:dyDescent="0.25">
      <c r="B74" s="148" t="s">
        <v>447</v>
      </c>
    </row>
    <row r="75" spans="2:2" x14ac:dyDescent="0.25">
      <c r="B75" s="148" t="s">
        <v>448</v>
      </c>
    </row>
    <row r="76" spans="2:2" x14ac:dyDescent="0.25">
      <c r="B76" s="147"/>
    </row>
    <row r="77" spans="2:2" ht="15.75" x14ac:dyDescent="0.25">
      <c r="B77" s="146" t="s">
        <v>813</v>
      </c>
    </row>
    <row r="78" spans="2:2" ht="15.75" x14ac:dyDescent="0.25">
      <c r="B78" s="146"/>
    </row>
    <row r="79" spans="2:2" x14ac:dyDescent="0.25">
      <c r="B79" s="148" t="s">
        <v>457</v>
      </c>
    </row>
    <row r="80" spans="2:2" x14ac:dyDescent="0.25">
      <c r="B80" s="149" t="s">
        <v>458</v>
      </c>
    </row>
    <row r="81" spans="2:2" x14ac:dyDescent="0.25">
      <c r="B81" s="149" t="s">
        <v>459</v>
      </c>
    </row>
    <row r="82" spans="2:2" x14ac:dyDescent="0.25">
      <c r="B82" s="148" t="s">
        <v>460</v>
      </c>
    </row>
    <row r="83" spans="2:2" x14ac:dyDescent="0.25">
      <c r="B83" s="149" t="s">
        <v>461</v>
      </c>
    </row>
    <row r="84" spans="2:2" x14ac:dyDescent="0.25">
      <c r="B84" s="149" t="s">
        <v>462</v>
      </c>
    </row>
    <row r="85" spans="2:2" x14ac:dyDescent="0.25">
      <c r="B85" s="148" t="s">
        <v>463</v>
      </c>
    </row>
    <row r="86" spans="2:2" x14ac:dyDescent="0.25">
      <c r="B86" s="149" t="s">
        <v>464</v>
      </c>
    </row>
    <row r="87" spans="2:2" x14ac:dyDescent="0.25">
      <c r="B87" s="142" t="s">
        <v>465</v>
      </c>
    </row>
    <row r="88" spans="2:2" x14ac:dyDescent="0.25">
      <c r="B88" s="142" t="s">
        <v>467</v>
      </c>
    </row>
    <row r="89" spans="2:2" x14ac:dyDescent="0.25">
      <c r="B89" s="142" t="s">
        <v>468</v>
      </c>
    </row>
    <row r="90" spans="2:2" x14ac:dyDescent="0.25">
      <c r="B90" s="142" t="s">
        <v>466</v>
      </c>
    </row>
    <row r="92" spans="2:2" ht="15.75" x14ac:dyDescent="0.25">
      <c r="B92" s="146" t="s">
        <v>814</v>
      </c>
    </row>
    <row r="94" spans="2:2" x14ac:dyDescent="0.25">
      <c r="B94" s="142" t="s">
        <v>470</v>
      </c>
    </row>
    <row r="95" spans="2:2" x14ac:dyDescent="0.25">
      <c r="B95" s="143" t="s">
        <v>471</v>
      </c>
    </row>
    <row r="96" spans="2:2" x14ac:dyDescent="0.25">
      <c r="B96" s="142" t="s">
        <v>472</v>
      </c>
    </row>
    <row r="97" spans="2:2" x14ac:dyDescent="0.25">
      <c r="B97" s="143" t="s">
        <v>734</v>
      </c>
    </row>
    <row r="98" spans="2:2" x14ac:dyDescent="0.25">
      <c r="B98" s="143" t="s">
        <v>473</v>
      </c>
    </row>
    <row r="99" spans="2:2" x14ac:dyDescent="0.25">
      <c r="B99" s="142" t="s">
        <v>735</v>
      </c>
    </row>
    <row r="100" spans="2:2" x14ac:dyDescent="0.25">
      <c r="B100" s="143" t="s">
        <v>736</v>
      </c>
    </row>
    <row r="101" spans="2:2" x14ac:dyDescent="0.25">
      <c r="B101" s="143" t="s">
        <v>474</v>
      </c>
    </row>
    <row r="102" spans="2:2" x14ac:dyDescent="0.25">
      <c r="B102" s="142" t="s">
        <v>475</v>
      </c>
    </row>
    <row r="103" spans="2:2" x14ac:dyDescent="0.25">
      <c r="B103" s="143" t="s">
        <v>476</v>
      </c>
    </row>
    <row r="104" spans="2:2" x14ac:dyDescent="0.25">
      <c r="B104" s="143" t="s">
        <v>477</v>
      </c>
    </row>
    <row r="105" spans="2:2" x14ac:dyDescent="0.25">
      <c r="B105" s="143"/>
    </row>
    <row r="106" spans="2:2" x14ac:dyDescent="0.25">
      <c r="B106" s="140" t="s">
        <v>469</v>
      </c>
    </row>
    <row r="108" spans="2:2" ht="15.75" x14ac:dyDescent="0.25">
      <c r="B108" s="141" t="s">
        <v>815</v>
      </c>
    </row>
    <row r="129" spans="2:2" ht="15.75" x14ac:dyDescent="0.25">
      <c r="B129" s="141" t="s">
        <v>816</v>
      </c>
    </row>
    <row r="131" spans="2:2" x14ac:dyDescent="0.25">
      <c r="B131" s="140" t="s">
        <v>478</v>
      </c>
    </row>
    <row r="149" spans="2:2" ht="15.75" x14ac:dyDescent="0.25">
      <c r="B149" s="141" t="s">
        <v>817</v>
      </c>
    </row>
    <row r="151" spans="2:2" x14ac:dyDescent="0.25">
      <c r="B151" s="140" t="s">
        <v>737</v>
      </c>
    </row>
    <row r="152" spans="2:2" x14ac:dyDescent="0.25">
      <c r="B152" s="140" t="s">
        <v>738</v>
      </c>
    </row>
    <row r="154" spans="2:2" x14ac:dyDescent="0.25">
      <c r="B154" s="140" t="s">
        <v>479</v>
      </c>
    </row>
    <row r="155" spans="2:2" x14ac:dyDescent="0.25">
      <c r="B155" s="140" t="s">
        <v>480</v>
      </c>
    </row>
    <row r="156" spans="2:2" x14ac:dyDescent="0.25">
      <c r="B156" s="140" t="s">
        <v>481</v>
      </c>
    </row>
    <row r="157" spans="2:2" x14ac:dyDescent="0.25">
      <c r="B157" s="140" t="s">
        <v>482</v>
      </c>
    </row>
    <row r="159" spans="2:2" x14ac:dyDescent="0.25">
      <c r="B159" s="140" t="s">
        <v>483</v>
      </c>
    </row>
    <row r="160" spans="2:2" x14ac:dyDescent="0.25">
      <c r="B160" s="140" t="s">
        <v>484</v>
      </c>
    </row>
    <row r="162" spans="1:2" x14ac:dyDescent="0.25">
      <c r="B162" s="140" t="s">
        <v>485</v>
      </c>
    </row>
    <row r="163" spans="1:2" x14ac:dyDescent="0.25">
      <c r="B163" s="140" t="s">
        <v>486</v>
      </c>
    </row>
    <row r="164" spans="1:2" x14ac:dyDescent="0.25">
      <c r="B164" s="140" t="s">
        <v>487</v>
      </c>
    </row>
    <row r="166" spans="1:2" x14ac:dyDescent="0.25">
      <c r="B166" s="140" t="s">
        <v>488</v>
      </c>
    </row>
    <row r="167" spans="1:2" x14ac:dyDescent="0.25">
      <c r="B167" s="140" t="s">
        <v>489</v>
      </c>
    </row>
    <row r="169" spans="1:2" x14ac:dyDescent="0.25">
      <c r="B169" s="140" t="s">
        <v>490</v>
      </c>
    </row>
    <row r="170" spans="1:2" x14ac:dyDescent="0.25">
      <c r="B170" s="140" t="s">
        <v>491</v>
      </c>
    </row>
    <row r="172" spans="1:2" x14ac:dyDescent="0.25">
      <c r="B172" s="140" t="s">
        <v>492</v>
      </c>
    </row>
    <row r="173" spans="1:2" x14ac:dyDescent="0.25">
      <c r="B173" s="140" t="s">
        <v>493</v>
      </c>
    </row>
    <row r="175" spans="1:2" ht="18.75" x14ac:dyDescent="0.3">
      <c r="A175" s="151" t="s">
        <v>548</v>
      </c>
      <c r="B175" s="150" t="s">
        <v>818</v>
      </c>
    </row>
    <row r="177" spans="2:2" x14ac:dyDescent="0.25">
      <c r="B177" s="140" t="s">
        <v>494</v>
      </c>
    </row>
    <row r="179" spans="2:2" x14ac:dyDescent="0.25">
      <c r="B179" s="140" t="s">
        <v>495</v>
      </c>
    </row>
    <row r="181" spans="2:2" x14ac:dyDescent="0.25">
      <c r="B181" s="140" t="s">
        <v>496</v>
      </c>
    </row>
    <row r="182" spans="2:2" x14ac:dyDescent="0.25">
      <c r="B182" s="140" t="s">
        <v>497</v>
      </c>
    </row>
    <row r="183" spans="2:2" x14ac:dyDescent="0.25">
      <c r="B183" s="140" t="s">
        <v>498</v>
      </c>
    </row>
    <row r="185" spans="2:2" x14ac:dyDescent="0.25">
      <c r="B185" s="140" t="s">
        <v>499</v>
      </c>
    </row>
    <row r="186" spans="2:2" x14ac:dyDescent="0.25">
      <c r="B186" s="140" t="s">
        <v>500</v>
      </c>
    </row>
    <row r="187" spans="2:2" x14ac:dyDescent="0.25">
      <c r="B187" s="140" t="s">
        <v>501</v>
      </c>
    </row>
    <row r="188" spans="2:2" x14ac:dyDescent="0.25">
      <c r="B188" s="140" t="s">
        <v>502</v>
      </c>
    </row>
    <row r="190" spans="2:2" x14ac:dyDescent="0.25">
      <c r="B190" s="140" t="s">
        <v>503</v>
      </c>
    </row>
    <row r="191" spans="2:2" x14ac:dyDescent="0.25">
      <c r="B191" s="140" t="s">
        <v>504</v>
      </c>
    </row>
    <row r="192" spans="2:2" x14ac:dyDescent="0.25">
      <c r="B192" s="140" t="s">
        <v>505</v>
      </c>
    </row>
    <row r="202" spans="2:10" ht="15.75" x14ac:dyDescent="0.25">
      <c r="B202" s="141" t="s">
        <v>819</v>
      </c>
    </row>
    <row r="204" spans="2:10" x14ac:dyDescent="0.25">
      <c r="J204" s="140" t="s">
        <v>506</v>
      </c>
    </row>
    <row r="205" spans="2:10" x14ac:dyDescent="0.25">
      <c r="J205" s="140" t="s">
        <v>507</v>
      </c>
    </row>
    <row r="206" spans="2:10" x14ac:dyDescent="0.25">
      <c r="J206" s="140" t="s">
        <v>508</v>
      </c>
    </row>
    <row r="207" spans="2:10" x14ac:dyDescent="0.25">
      <c r="J207" s="140" t="s">
        <v>509</v>
      </c>
    </row>
    <row r="209" spans="2:10" x14ac:dyDescent="0.25">
      <c r="J209" s="140" t="s">
        <v>510</v>
      </c>
    </row>
    <row r="210" spans="2:10" x14ac:dyDescent="0.25">
      <c r="J210" s="140" t="s">
        <v>511</v>
      </c>
    </row>
    <row r="211" spans="2:10" x14ac:dyDescent="0.25">
      <c r="J211" s="140" t="s">
        <v>512</v>
      </c>
    </row>
    <row r="213" spans="2:10" x14ac:dyDescent="0.25">
      <c r="J213" s="140" t="s">
        <v>513</v>
      </c>
    </row>
    <row r="214" spans="2:10" x14ac:dyDescent="0.25">
      <c r="J214" s="140" t="s">
        <v>514</v>
      </c>
    </row>
    <row r="215" spans="2:10" x14ac:dyDescent="0.25">
      <c r="J215" s="140" t="s">
        <v>515</v>
      </c>
    </row>
    <row r="217" spans="2:10" ht="15.75" x14ac:dyDescent="0.25">
      <c r="B217" s="141" t="s">
        <v>820</v>
      </c>
    </row>
    <row r="219" spans="2:10" x14ac:dyDescent="0.25">
      <c r="B219" s="140" t="s">
        <v>516</v>
      </c>
    </row>
    <row r="220" spans="2:10" x14ac:dyDescent="0.25">
      <c r="B220" s="140" t="s">
        <v>517</v>
      </c>
    </row>
    <row r="221" spans="2:10" x14ac:dyDescent="0.25">
      <c r="B221" s="140" t="s">
        <v>518</v>
      </c>
    </row>
    <row r="222" spans="2:10" x14ac:dyDescent="0.25">
      <c r="B222" s="140" t="s">
        <v>519</v>
      </c>
    </row>
    <row r="223" spans="2:10" x14ac:dyDescent="0.25">
      <c r="B223" s="140" t="s">
        <v>520</v>
      </c>
    </row>
    <row r="224" spans="2:10" x14ac:dyDescent="0.25">
      <c r="B224" s="140" t="s">
        <v>521</v>
      </c>
    </row>
    <row r="225" spans="2:14" x14ac:dyDescent="0.25">
      <c r="B225" s="140" t="s">
        <v>522</v>
      </c>
    </row>
    <row r="227" spans="2:14" x14ac:dyDescent="0.25">
      <c r="B227" s="140" t="s">
        <v>523</v>
      </c>
    </row>
    <row r="228" spans="2:14" x14ac:dyDescent="0.25">
      <c r="B228" s="140" t="s">
        <v>524</v>
      </c>
    </row>
    <row r="229" spans="2:14" x14ac:dyDescent="0.25">
      <c r="B229" s="140" t="s">
        <v>525</v>
      </c>
    </row>
    <row r="230" spans="2:14" x14ac:dyDescent="0.25">
      <c r="B230" s="140" t="s">
        <v>526</v>
      </c>
    </row>
    <row r="235" spans="2:14" ht="15.75" x14ac:dyDescent="0.25">
      <c r="B235" s="141" t="s">
        <v>821</v>
      </c>
    </row>
    <row r="237" spans="2:14" x14ac:dyDescent="0.25">
      <c r="N237" s="140" t="s">
        <v>527</v>
      </c>
    </row>
    <row r="238" spans="2:14" x14ac:dyDescent="0.25">
      <c r="N238" s="140" t="s">
        <v>528</v>
      </c>
    </row>
    <row r="239" spans="2:14" x14ac:dyDescent="0.25">
      <c r="N239" s="140" t="s">
        <v>529</v>
      </c>
    </row>
    <row r="241" spans="14:14" x14ac:dyDescent="0.25">
      <c r="N241" s="140" t="s">
        <v>530</v>
      </c>
    </row>
    <row r="259" spans="1:1" ht="18.75" x14ac:dyDescent="0.25">
      <c r="A259" s="151"/>
    </row>
  </sheetData>
  <sheetProtection algorithmName="SHA-512" hashValue="7jSZPr+5YuXGLWq1EYN5xLJr9T48NjgWsfxefm+UIiedtbiwxdWyqZb+uFX2uLvJxDdANo5W5gzhSjRRApYLYA==" saltValue="AwlAPj2q/APPUvwIZU3uxA==" spinCount="100000" sheet="1" objects="1" scenarios="1" selectLockedCell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B25E2-57C7-4AF6-BFA4-7D4DD4E45D1D}">
  <dimension ref="B3:S132"/>
  <sheetViews>
    <sheetView workbookViewId="0">
      <selection activeCell="V195" sqref="V195"/>
    </sheetView>
  </sheetViews>
  <sheetFormatPr defaultColWidth="9.140625" defaultRowHeight="15" x14ac:dyDescent="0.25"/>
  <cols>
    <col min="1" max="16" width="9.140625" style="140"/>
    <col min="17" max="17" width="15" style="140" customWidth="1"/>
    <col min="18" max="19" width="31.42578125" style="140" bestFit="1" customWidth="1"/>
    <col min="20" max="20" width="27.42578125" style="140" bestFit="1" customWidth="1"/>
    <col min="21" max="16384" width="9.140625" style="140"/>
  </cols>
  <sheetData>
    <row r="3" spans="2:2" ht="18.75" x14ac:dyDescent="0.3">
      <c r="B3" s="150" t="s">
        <v>568</v>
      </c>
    </row>
    <row r="5" spans="2:2" x14ac:dyDescent="0.25">
      <c r="B5" s="167" t="s">
        <v>569</v>
      </c>
    </row>
    <row r="6" spans="2:2" x14ac:dyDescent="0.25">
      <c r="B6" s="140" t="s">
        <v>574</v>
      </c>
    </row>
    <row r="7" spans="2:2" x14ac:dyDescent="0.25">
      <c r="B7" s="140" t="s">
        <v>572</v>
      </c>
    </row>
    <row r="8" spans="2:2" x14ac:dyDescent="0.25">
      <c r="B8" s="140" t="s">
        <v>573</v>
      </c>
    </row>
    <row r="9" spans="2:2" x14ac:dyDescent="0.25">
      <c r="B9" s="168" t="s">
        <v>575</v>
      </c>
    </row>
    <row r="10" spans="2:2" x14ac:dyDescent="0.25">
      <c r="B10" s="140" t="s">
        <v>576</v>
      </c>
    </row>
    <row r="11" spans="2:2" x14ac:dyDescent="0.25">
      <c r="B11" s="140" t="s">
        <v>577</v>
      </c>
    </row>
    <row r="20" spans="2:2" x14ac:dyDescent="0.25">
      <c r="B20" s="167" t="s">
        <v>570</v>
      </c>
    </row>
    <row r="21" spans="2:2" x14ac:dyDescent="0.25">
      <c r="B21" s="140" t="s">
        <v>579</v>
      </c>
    </row>
    <row r="22" spans="2:2" x14ac:dyDescent="0.25">
      <c r="B22" s="140" t="s">
        <v>580</v>
      </c>
    </row>
    <row r="23" spans="2:2" x14ac:dyDescent="0.25">
      <c r="B23" s="140" t="s">
        <v>581</v>
      </c>
    </row>
    <row r="36" spans="2:2" x14ac:dyDescent="0.25">
      <c r="B36" s="167" t="s">
        <v>571</v>
      </c>
    </row>
    <row r="37" spans="2:2" x14ac:dyDescent="0.25">
      <c r="B37" s="140" t="s">
        <v>582</v>
      </c>
    </row>
    <row r="38" spans="2:2" x14ac:dyDescent="0.25">
      <c r="B38" s="140" t="s">
        <v>741</v>
      </c>
    </row>
    <row r="51" spans="2:19" ht="18.75" x14ac:dyDescent="0.3">
      <c r="Q51" s="150" t="s">
        <v>633</v>
      </c>
    </row>
    <row r="53" spans="2:19" x14ac:dyDescent="0.25">
      <c r="B53" s="167" t="s">
        <v>739</v>
      </c>
      <c r="Q53" s="140" t="s">
        <v>614</v>
      </c>
    </row>
    <row r="54" spans="2:19" x14ac:dyDescent="0.25">
      <c r="B54" s="140" t="s">
        <v>740</v>
      </c>
      <c r="Q54" s="140" t="s">
        <v>615</v>
      </c>
    </row>
    <row r="55" spans="2:19" x14ac:dyDescent="0.25">
      <c r="B55" s="140" t="s">
        <v>742</v>
      </c>
      <c r="Q55" s="143" t="s">
        <v>594</v>
      </c>
    </row>
    <row r="56" spans="2:19" x14ac:dyDescent="0.25">
      <c r="Q56" s="143" t="s">
        <v>595</v>
      </c>
    </row>
    <row r="57" spans="2:19" x14ac:dyDescent="0.25">
      <c r="C57"/>
      <c r="Q57" s="143" t="s">
        <v>596</v>
      </c>
    </row>
    <row r="58" spans="2:19" x14ac:dyDescent="0.25">
      <c r="Q58" s="143" t="s">
        <v>597</v>
      </c>
    </row>
    <row r="59" spans="2:19" x14ac:dyDescent="0.25">
      <c r="Q59" s="143" t="s">
        <v>598</v>
      </c>
    </row>
    <row r="60" spans="2:19" x14ac:dyDescent="0.25">
      <c r="Q60" s="140" t="s">
        <v>616</v>
      </c>
    </row>
    <row r="62" spans="2:19" x14ac:dyDescent="0.25">
      <c r="Q62" s="169" t="s">
        <v>599</v>
      </c>
      <c r="R62" s="169" t="s">
        <v>600</v>
      </c>
      <c r="S62" s="169" t="s">
        <v>601</v>
      </c>
    </row>
    <row r="63" spans="2:19" x14ac:dyDescent="0.25">
      <c r="Q63" s="169" t="s">
        <v>602</v>
      </c>
      <c r="R63" s="169" t="s">
        <v>603</v>
      </c>
      <c r="S63" s="170">
        <v>400</v>
      </c>
    </row>
    <row r="64" spans="2:19" x14ac:dyDescent="0.25">
      <c r="Q64" s="169" t="s">
        <v>604</v>
      </c>
      <c r="R64" s="169" t="s">
        <v>605</v>
      </c>
      <c r="S64" s="170">
        <v>1300</v>
      </c>
    </row>
    <row r="65" spans="2:19" x14ac:dyDescent="0.25">
      <c r="Q65" s="169" t="s">
        <v>606</v>
      </c>
      <c r="R65" s="169" t="s">
        <v>607</v>
      </c>
      <c r="S65" s="170">
        <v>2500</v>
      </c>
    </row>
    <row r="66" spans="2:19" x14ac:dyDescent="0.25">
      <c r="Q66" s="169" t="s">
        <v>608</v>
      </c>
      <c r="R66" s="169" t="s">
        <v>609</v>
      </c>
      <c r="S66" s="170">
        <v>3500</v>
      </c>
    </row>
    <row r="68" spans="2:19" x14ac:dyDescent="0.25">
      <c r="Q68" s="140" t="s">
        <v>617</v>
      </c>
    </row>
    <row r="70" spans="2:19" x14ac:dyDescent="0.25">
      <c r="Q70" s="140" t="s">
        <v>610</v>
      </c>
    </row>
    <row r="72" spans="2:19" x14ac:dyDescent="0.25">
      <c r="Q72" s="140" t="s">
        <v>611</v>
      </c>
    </row>
    <row r="73" spans="2:19" x14ac:dyDescent="0.25">
      <c r="Q73" s="140" t="s">
        <v>612</v>
      </c>
    </row>
    <row r="74" spans="2:19" x14ac:dyDescent="0.25">
      <c r="Q74" s="140" t="s">
        <v>613</v>
      </c>
    </row>
    <row r="75" spans="2:19" x14ac:dyDescent="0.25">
      <c r="B75" s="167" t="s">
        <v>743</v>
      </c>
    </row>
    <row r="76" spans="2:19" x14ac:dyDescent="0.25">
      <c r="B76" s="140" t="s">
        <v>583</v>
      </c>
      <c r="Q76" s="140" t="s">
        <v>619</v>
      </c>
    </row>
    <row r="77" spans="2:19" x14ac:dyDescent="0.25">
      <c r="B77" s="140" t="s">
        <v>584</v>
      </c>
      <c r="Q77" s="142" t="s">
        <v>618</v>
      </c>
    </row>
    <row r="78" spans="2:19" x14ac:dyDescent="0.25">
      <c r="B78" s="140" t="s">
        <v>586</v>
      </c>
    </row>
    <row r="79" spans="2:19" x14ac:dyDescent="0.25">
      <c r="B79" s="140" t="s">
        <v>587</v>
      </c>
      <c r="Q79" s="140" t="s">
        <v>620</v>
      </c>
    </row>
    <row r="80" spans="2:19" x14ac:dyDescent="0.25">
      <c r="B80" s="140" t="s">
        <v>588</v>
      </c>
      <c r="Q80" s="140" t="s">
        <v>621</v>
      </c>
    </row>
    <row r="81" spans="2:17" x14ac:dyDescent="0.25">
      <c r="B81" s="140" t="s">
        <v>585</v>
      </c>
      <c r="Q81" s="140" t="s">
        <v>622</v>
      </c>
    </row>
    <row r="82" spans="2:17" x14ac:dyDescent="0.25">
      <c r="Q82" s="140" t="s">
        <v>623</v>
      </c>
    </row>
    <row r="85" spans="2:17" ht="18.75" x14ac:dyDescent="0.3">
      <c r="Q85" s="150" t="s">
        <v>634</v>
      </c>
    </row>
    <row r="87" spans="2:17" x14ac:dyDescent="0.25">
      <c r="Q87" s="167" t="s">
        <v>635</v>
      </c>
    </row>
    <row r="100" spans="2:17" x14ac:dyDescent="0.25">
      <c r="B100" s="167" t="s">
        <v>744</v>
      </c>
    </row>
    <row r="101" spans="2:17" x14ac:dyDescent="0.25">
      <c r="B101" s="140" t="s">
        <v>589</v>
      </c>
    </row>
    <row r="102" spans="2:17" x14ac:dyDescent="0.25">
      <c r="Q102" s="167" t="s">
        <v>636</v>
      </c>
    </row>
    <row r="103" spans="2:17" x14ac:dyDescent="0.25">
      <c r="B103" s="167" t="s">
        <v>745</v>
      </c>
      <c r="Q103" s="338" t="s">
        <v>822</v>
      </c>
    </row>
    <row r="104" spans="2:17" x14ac:dyDescent="0.25">
      <c r="B104" s="140" t="s">
        <v>590</v>
      </c>
    </row>
    <row r="105" spans="2:17" x14ac:dyDescent="0.25">
      <c r="B105" s="140" t="s">
        <v>591</v>
      </c>
    </row>
    <row r="106" spans="2:17" x14ac:dyDescent="0.25">
      <c r="B106" s="140" t="s">
        <v>592</v>
      </c>
    </row>
    <row r="107" spans="2:17" x14ac:dyDescent="0.25">
      <c r="B107" s="140" t="s">
        <v>593</v>
      </c>
    </row>
    <row r="111" spans="2:17" x14ac:dyDescent="0.25">
      <c r="Q111" s="143" t="s">
        <v>637</v>
      </c>
    </row>
    <row r="112" spans="2:17" x14ac:dyDescent="0.25">
      <c r="Q112" s="143" t="s">
        <v>638</v>
      </c>
    </row>
    <row r="114" spans="17:17" ht="18.75" x14ac:dyDescent="0.3">
      <c r="Q114" s="150" t="s">
        <v>639</v>
      </c>
    </row>
    <row r="116" spans="17:17" x14ac:dyDescent="0.25">
      <c r="Q116" s="338" t="s">
        <v>823</v>
      </c>
    </row>
    <row r="118" spans="17:17" x14ac:dyDescent="0.25">
      <c r="Q118" s="167" t="s">
        <v>640</v>
      </c>
    </row>
    <row r="119" spans="17:17" x14ac:dyDescent="0.25">
      <c r="Q119" s="143" t="s">
        <v>641</v>
      </c>
    </row>
    <row r="130" spans="17:17" x14ac:dyDescent="0.25">
      <c r="Q130" s="140" t="s">
        <v>642</v>
      </c>
    </row>
    <row r="131" spans="17:17" x14ac:dyDescent="0.25">
      <c r="Q131" s="143" t="s">
        <v>643</v>
      </c>
    </row>
    <row r="132" spans="17:17" x14ac:dyDescent="0.25">
      <c r="Q132" s="143" t="s">
        <v>644</v>
      </c>
    </row>
  </sheetData>
  <sheetProtection algorithmName="SHA-512" hashValue="2Wwh9Tz3nhlh+C4D6NRZt+kXXv7oCRagEBbMQXzsRKJQZ2wdlQSdvDAh/tZp7ERqmExBOk8UwLXfBKGRacpocQ==" saltValue="l174qqmxclU5dYk/xNL53g==" spinCount="100000" sheet="1" objects="1" scenarios="1" selectLockedCells="1"/>
  <phoneticPr fontId="33" type="noConversion"/>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45</vt:i4>
      </vt:variant>
    </vt:vector>
  </HeadingPairs>
  <TitlesOfParts>
    <vt:vector size="72" baseType="lpstr">
      <vt:lpstr>Introduction</vt:lpstr>
      <vt:lpstr>LOI &amp; Order Details</vt:lpstr>
      <vt:lpstr>Job Survey</vt:lpstr>
      <vt:lpstr>Organizational Chart</vt:lpstr>
      <vt:lpstr>Tech Features</vt:lpstr>
      <vt:lpstr>Tech Advantage</vt:lpstr>
      <vt:lpstr>Total Available Market</vt:lpstr>
      <vt:lpstr>Market Study</vt:lpstr>
      <vt:lpstr>Competitive Analysis</vt:lpstr>
      <vt:lpstr>CoGS Analysis</vt:lpstr>
      <vt:lpstr>HR Plan</vt:lpstr>
      <vt:lpstr>IP Plan</vt:lpstr>
      <vt:lpstr>Use of Funds</vt:lpstr>
      <vt:lpstr>Gantt Chart</vt:lpstr>
      <vt:lpstr>Manufacturing Plan</vt:lpstr>
      <vt:lpstr>Startup Phase (1-4 months)</vt:lpstr>
      <vt:lpstr>Beta Phase (5-8 months)</vt:lpstr>
      <vt:lpstr>Prod Ready phase (9-12 months)</vt:lpstr>
      <vt:lpstr>Beyond 12 months phase</vt:lpstr>
      <vt:lpstr>Burn Rate</vt:lpstr>
      <vt:lpstr>Burn Rate Graph</vt:lpstr>
      <vt:lpstr>Burn Rate-Rev-Cash Bal Graph</vt:lpstr>
      <vt:lpstr>P&amp;L</vt:lpstr>
      <vt:lpstr>Detailed Calculations</vt:lpstr>
      <vt:lpstr>Payroll Calculations</vt:lpstr>
      <vt:lpstr>Holidays</vt:lpstr>
      <vt:lpstr>Help &amp; Settings</vt:lpstr>
      <vt:lpstr>assign_to_color</vt:lpstr>
      <vt:lpstr>assign_to_names</vt:lpstr>
      <vt:lpstr>'Help &amp; Settings'!dateformat</vt:lpstr>
      <vt:lpstr>dateformat</vt:lpstr>
      <vt:lpstr>'Help &amp; Settings'!dateformat_wm</vt:lpstr>
      <vt:lpstr>dateformat_wm</vt:lpstr>
      <vt:lpstr>'Help &amp; Settings'!dateformat_yy</vt:lpstr>
      <vt:lpstr>dateformat_yy</vt:lpstr>
      <vt:lpstr>Display_Week</vt:lpstr>
      <vt:lpstr>'Gantt Chart'!end_range</vt:lpstr>
      <vt:lpstr>'Help &amp; Settings'!enddate_highlight_days</vt:lpstr>
      <vt:lpstr>enddate_highlight_days</vt:lpstr>
      <vt:lpstr>'Help &amp; Settings'!holidays</vt:lpstr>
      <vt:lpstr>holidays</vt:lpstr>
      <vt:lpstr>'Gantt Chart'!lastProgress</vt:lpstr>
      <vt:lpstr>'Gantt Chart'!lastWBS</vt:lpstr>
      <vt:lpstr>'Gantt Chart'!lastWorkDays</vt:lpstr>
      <vt:lpstr>'Gantt Chart'!nextProgress</vt:lpstr>
      <vt:lpstr>'Gantt Chart'!nextWBS</vt:lpstr>
      <vt:lpstr>'Gantt Chart'!nextWorkDays</vt:lpstr>
      <vt:lpstr>'Gantt Chart'!prevLevel</vt:lpstr>
      <vt:lpstr>'Gantt Chart'!prevWBS</vt:lpstr>
      <vt:lpstr>'Detailed Calculations'!Print_Area</vt:lpstr>
      <vt:lpstr>'Gantt Chart'!Print_Area</vt:lpstr>
      <vt:lpstr>'P&amp;L'!Print_Area</vt:lpstr>
      <vt:lpstr>'Gantt Chart'!Print_Titles</vt:lpstr>
      <vt:lpstr>'Help &amp; Settings'!priorities</vt:lpstr>
      <vt:lpstr>priorities</vt:lpstr>
      <vt:lpstr>'Gantt Chart'!progress_range</vt:lpstr>
      <vt:lpstr>Project_Start</vt:lpstr>
      <vt:lpstr>'Help &amp; Settings'!show_overdue_in_chart</vt:lpstr>
      <vt:lpstr>show_overdue_in_chart</vt:lpstr>
      <vt:lpstr>'Help &amp; Settings'!show_percent_complete</vt:lpstr>
      <vt:lpstr>show_percent_complete</vt:lpstr>
      <vt:lpstr>'Gantt Chart'!start_range</vt:lpstr>
      <vt:lpstr>'Help &amp; Settings'!startday</vt:lpstr>
      <vt:lpstr>startday</vt:lpstr>
      <vt:lpstr>'Gantt Chart'!thisWBS</vt:lpstr>
      <vt:lpstr>urgency_days</vt:lpstr>
      <vt:lpstr>'Gantt Chart'!wbs_range</vt:lpstr>
      <vt:lpstr>'Help &amp; Settings'!weekend</vt:lpstr>
      <vt:lpstr>weekend</vt:lpstr>
      <vt:lpstr>'Help &amp; Settings'!weeknumbering</vt:lpstr>
      <vt:lpstr>weeknumbering</vt:lpstr>
      <vt:lpstr>'Gantt Chart'!workdays_range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Subhash Paluru</dc:creator>
  <cp:lastModifiedBy>Subhash Paluru</cp:lastModifiedBy>
  <cp:lastPrinted>2024-03-12T19:18:40Z</cp:lastPrinted>
  <dcterms:created xsi:type="dcterms:W3CDTF">2020-12-12T14:25:01Z</dcterms:created>
  <dcterms:modified xsi:type="dcterms:W3CDTF">2024-04-19T02:21:26Z</dcterms:modified>
</cp:coreProperties>
</file>